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Default Extension="png" ContentType="image/png"/>
  <Override PartName="/xl/styles.xml" ContentType="application/vnd.openxmlformats-officedocument.spreadsheetml.styles+xml"/>
  <Override PartName="/xl/drawings/drawing1.xml" ContentType="application/vnd.openxmlformats-officedocument.drawing+xml"/>
  <Override PartName="/xl/worksheets/sheet1.xml" ContentType="application/vnd.openxmlformats-officedocument.spreadsheetml.worksheet+xml"/>
  <Override PartName="/xl/comments2.xml" ContentType="application/vnd.openxmlformats-officedocument.spreadsheetml.comments+xml"/>
  <Default Extension="vml" ContentType="application/vnd.openxmlformats-officedocument.vmlDrawing"/>
  <Default Extension="bin" ContentType="application/vnd.openxmlformats-officedocument.spreadsheetml.printerSettings"/>
  <Override PartName="/xl/worksheets/sheet2.xml" ContentType="application/vnd.openxmlformats-officedocument.spreadsheetml.worksheet+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sharedStrings.xml" ContentType="application/vnd.openxmlformats-officedocument.spreadsheetml.sharedStrings+xml"/>
  <Override PartName="/customXml/itemProps1.xml" ContentType="application/vnd.openxmlformats-officedocument.customXmlPropertie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C:\Users\RobertFung\Downloads\"/>
    </mc:Choice>
  </mc:AlternateContent>
  <bookViews>
    <workbookView xWindow="-120" yWindow="-120" windowWidth="29040" windowHeight="15840" activeTab="0"/>
  </bookViews>
  <sheets>
    <sheet name="Front Page" sheetId="7" r:id="rId3"/>
    <sheet name="Model" sheetId="1" r:id="rId4"/>
    <sheet name="Summary Page" sheetId="9" r:id="rId5"/>
    <sheet name="Update Log" sheetId="8" r:id="rId6"/>
  </sheets>
  <definedNames>
    <definedName name="AA.AlternatePriceSourceStartPeriod">"Q1-2018"</definedName>
    <definedName name="AA.CIK">"86312"</definedName>
    <definedName name="AA.CompareQuarters.LatestMRQ">"Q3-2019"</definedName>
    <definedName name="AA.CSIN">"86R6WP0138"</definedName>
    <definedName name="AA.CurationVersion">"2023.11.1.0"</definedName>
    <definedName name="AA.HardcodeChecker.LatestMRQ">"Q3-2019"</definedName>
    <definedName name="AA.ModelChecks.LatestMRQ">"Q3-2021"</definedName>
    <definedName name="AA.ModelChecks.LatestVersionNumber">"2.38.2.0"</definedName>
    <definedName name="AA.ModelVersion">"Q3-2024.21"</definedName>
    <definedName name="AA.NonLibraryWideCurationVersion">"C"</definedName>
    <definedName name="AA.PartialUpdate.BsAvailable">"TRUE"</definedName>
    <definedName name="AA.PartialUpdate.CfsAvailable">"TRUE"</definedName>
    <definedName name="AA.PartialUpdate.IsAvailable">"TRUE"</definedName>
    <definedName name="AA.PeriodLayout">"QFY"</definedName>
    <definedName name="AA.PersonalMacro.VersionNumber">"1.6.5.0"</definedName>
    <definedName name="AA.RowNameEnforcerVersion">"2023.11.1.0"</definedName>
    <definedName name="AA.SessionToUploadId">""</definedName>
    <definedName name="AA.StartWorkModelVersion">"Q2-2024.21"</definedName>
    <definedName name="AA.StartWorkType">""</definedName>
    <definedName name="AA.SubyearType">"Q"</definedName>
    <definedName name="AA.TemplateUpgradeAttempted">"TRUE"</definedName>
    <definedName name="AA.TemplateVersion">"7.5.1.0"</definedName>
    <definedName name="AA.UpdateType">"Regular"</definedName>
    <definedName name="AA.VerifyUnitsAtModelVersion">"Q1-2018.20"</definedName>
    <definedName name="FP.DataSource">'Front Page'!$H$16</definedName>
    <definedName name="FP.DataSourceName">'Front Page'!$H$15</definedName>
    <definedName name="FP.Disclaimer">'Front Page'!$C$22</definedName>
    <definedName name="FP.LastPrice">'Front Page'!$H$20</definedName>
    <definedName name="FP.LastPriceDate">'Front Page'!$F$20</definedName>
    <definedName name="FP.RealTimeToggle">'Front Page'!$H$18</definedName>
    <definedName name="FP.UpdateDate">'Front Page'!$H$11</definedName>
    <definedName name="FP.UpdateEvent">'Front Page'!$H$13</definedName>
    <definedName name="FP_Comment">'Front Page'!$M$13:$P$20</definedName>
    <definedName name="FP_StockPriceOverride">'Front Page'!$C$20:$H$20</definedName>
    <definedName name="HP.MRFX">Model!$B$833</definedName>
    <definedName name="HP.ReportCurrency">Model!$B$832</definedName>
    <definedName name="HP.Ticker">Model!$A$2</definedName>
    <definedName name="HP.TradeCurrency">Model!$B$830</definedName>
    <definedName name="HP.TradeCurrency.HardCoded">Model!$B$831</definedName>
    <definedName name="MO.ApplyTradeCurrencyScaling">Model!$B$829</definedName>
    <definedName name="MO.CFY">Model!$B$837</definedName>
    <definedName name="MO.CompanyName">Model!$A$1</definedName>
    <definedName name="MO.DataSourceIndex">Model!$B$840</definedName>
    <definedName name="MO.DataSourceName">Model!$A$4</definedName>
    <definedName name="MO.FirstForecastedFiscalYear">Model!$B$838</definedName>
    <definedName name="MO.KPI.1">Model!$A$720</definedName>
    <definedName name="MO.KPI.10">Model!$A$729</definedName>
    <definedName name="MO.KPI.11">Model!$A$730</definedName>
    <definedName name="MO.KPI.12">Model!$A$731</definedName>
    <definedName name="MO.KPI.13">Model!$A$732</definedName>
    <definedName name="MO.KPI.14">Model!$A$733</definedName>
    <definedName name="MO.KPI.15">Model!$A$734</definedName>
    <definedName name="MO.KPI.16">Model!$A$735</definedName>
    <definedName name="MO.KPI.17">Model!$A$736</definedName>
    <definedName name="MO.KPI.18">Model!$A$737</definedName>
    <definedName name="MO.KPI.19">Model!$A$738</definedName>
    <definedName name="MO.KPI.2">Model!$A$721</definedName>
    <definedName name="MO.KPI.20">Model!$A$739</definedName>
    <definedName name="MO.KPI.21">Model!$A$740</definedName>
    <definedName name="MO.KPI.22">Model!$A$741</definedName>
    <definedName name="MO.KPI.23">Model!$A$742</definedName>
    <definedName name="MO.KPI.24">Model!$A$743</definedName>
    <definedName name="MO.KPI.25">Model!$A$744</definedName>
    <definedName name="MO.KPI.26">Model!$A$745</definedName>
    <definedName name="MO.KPI.27">Model!$A$746</definedName>
    <definedName name="MO.KPI.28">Model!$A$747</definedName>
    <definedName name="MO.KPI.29">Model!$A$748</definedName>
    <definedName name="MO.KPI.3">Model!$A$722</definedName>
    <definedName name="MO.KPI.30">Model!$A$749</definedName>
    <definedName name="MO.KPI.31">Model!$A$750</definedName>
    <definedName name="MO.KPI.32">Model!$A$751</definedName>
    <definedName name="MO.KPI.33">Model!$A$752</definedName>
    <definedName name="MO.KPI.34">Model!$A$753</definedName>
    <definedName name="MO.KPI.35">Model!$A$754</definedName>
    <definedName name="MO.KPI.36">Model!$A$755</definedName>
    <definedName name="MO.KPI.37">Model!$A$756</definedName>
    <definedName name="MO.KPI.38">Model!$A$757</definedName>
    <definedName name="MO.KPI.39">Model!$A$758</definedName>
    <definedName name="MO.KPI.4">Model!$A$723</definedName>
    <definedName name="MO.KPI.40">Model!$A$759</definedName>
    <definedName name="MO.KPI.41">Model!$A$760</definedName>
    <definedName name="MO.KPI.42">Model!$A$761</definedName>
    <definedName name="MO.KPI.5">Model!$A$724</definedName>
    <definedName name="MO.KPI.6">Model!$A$725</definedName>
    <definedName name="MO.KPI.7">Model!$A$726</definedName>
    <definedName name="MO.KPI.8">Model!$A$727</definedName>
    <definedName name="MO.KPI.9">Model!$A$728</definedName>
    <definedName name="MO.KPI.Count">Model!$B$839</definedName>
    <definedName name="MO.LastPrice">Model!$B$3</definedName>
    <definedName name="MO.LastPriceDate">Model!$B$826</definedName>
    <definedName name="MO.LastPriceFormula">Model!$B$828</definedName>
    <definedName name="MO.LastPriceHardcoded">Model!$B$825</definedName>
    <definedName name="MO.MRFP">Model!$B$836</definedName>
    <definedName name="MO.MRFPColumnNumber">Model!$B$835</definedName>
    <definedName name="MO.MRFX.Hardcoded">Model!$B$834</definedName>
    <definedName name="MO.RealTime">Model!$B$4</definedName>
    <definedName name="MO.RealTimeStockPriceToggle">Model!$B$827</definedName>
    <definedName name="MO.ReportCurrency">Model!$B$832</definedName>
    <definedName name="MO.ReportFX">Model!$A$5</definedName>
    <definedName name="MO.Ticker">Model!$A$2</definedName>
    <definedName name="MO.Ticker.Bloomberg">Model!$A$699</definedName>
    <definedName name="MO.Ticker.Canalyst">Model!$A$698</definedName>
    <definedName name="MO.Ticker.CapIQ">Model!$A$700</definedName>
    <definedName name="MO.Ticker.FactSet">Model!$A$701</definedName>
    <definedName name="MO.Ticker.Thomson">Model!$A$702</definedName>
    <definedName name="MO.TradingCurrency">Model!$A$3</definedName>
    <definedName name="MO.ValuationToggle">Model!$B$502</definedName>
    <definedName name="MO_BS_AR">Model!$634:$634</definedName>
    <definedName name="MO_BS_Cash">Model!$632:$632</definedName>
    <definedName name="MO_BS_Goodwill">Model!$640:$640</definedName>
    <definedName name="MO_BS_Intangibles">Model!$641:$641</definedName>
    <definedName name="MO_BS_NCI">Model!$662:$662</definedName>
    <definedName name="MO_BS_OCI">Model!$659:$659</definedName>
    <definedName name="MO_BS_PreferredStock">Model!$656:$656</definedName>
    <definedName name="MO_BS_RetainedEarnings">Model!$658:$658</definedName>
    <definedName name="MO_BS_SE">Model!$661:$661</definedName>
    <definedName name="MO_BS_STInvestments">Model!$629:$629</definedName>
    <definedName name="MO_BS_TA">Model!$643:$643</definedName>
    <definedName name="MO_BS_TaxAssets_Deferred">Model!$638:$638</definedName>
    <definedName name="MO_BS_TaxLiabilities_Deferred">Model!$650:$650</definedName>
    <definedName name="MO_BS_TL">Model!$653:$653</definedName>
    <definedName name="MO_BS_TLSE">Model!$663:$663</definedName>
    <definedName name="MO_BS_TreasuryStock">Model!$660:$660</definedName>
    <definedName name="MO_BSS_AdjustedCommonEquity">Model!$464:$464</definedName>
    <definedName name="MO_BSS_BVPS">Model!$470:$470</definedName>
    <definedName name="MO_BSS_BVPS_Adj">Model!$472:$472</definedName>
    <definedName name="MO_BSS_Lessgoodwillandotherintangibleassets">Model!$467:$467</definedName>
    <definedName name="MO_BSS_Lessnetunrealizedinvestmentgainsnetoftax">Model!$463:$463</definedName>
    <definedName name="MO_BSS_NLR">Model!$454:$454</definedName>
    <definedName name="MO_BSS_NTR">Model!$455:$455</definedName>
    <definedName name="MO_BSS_NUPR">Model!$453:$453</definedName>
    <definedName name="MO_BSS_PreferredShares">Model!$461:$461</definedName>
    <definedName name="MO_BSS_ReserveRatio">Model!$457:$457</definedName>
    <definedName name="MO_BSS_ROA">Model!$475:$475</definedName>
    <definedName name="MO_BSS_ROAE">Model!$478:$478</definedName>
    <definedName name="MO_BSS_ROE">Model!$476:$476</definedName>
    <definedName name="MO_BSS_ROTE">Model!$479:$479</definedName>
    <definedName name="MO_BSS_SolvencyRatio">Model!$458:$458</definedName>
    <definedName name="MO_BSS_TangibleCommonEquity">Model!$468:$468</definedName>
    <definedName name="MO_BSS_TBVPS">Model!$473:$473</definedName>
    <definedName name="MO_BSS_TotalCommonEquity">Model!$462:$462</definedName>
    <definedName name="MO_BSS_TotalEquity">Model!$460:$460</definedName>
    <definedName name="MO_CCFS_Balance_Begin">Model!$563:$563</definedName>
    <definedName name="MO_CCFS_Balance_End">Model!$564:$564</definedName>
    <definedName name="MO_CCFS_CFF">Model!$558:$558</definedName>
    <definedName name="MO_CCFS_CFI">Model!$548:$548</definedName>
    <definedName name="MO_CCFS_CFO">Model!$532:$532</definedName>
    <definedName name="MO_CCFS_CFO_BeforeWC">Model!$524:$524</definedName>
    <definedName name="MO_CCFS_FX">Model!$560:$560</definedName>
    <definedName name="MO_CCFS_NetChange">Model!$561:$561</definedName>
    <definedName name="MO_CCFS_Sup_CashInterest">Model!$566:$566</definedName>
    <definedName name="MO_CCFS_Sup_CashTax">Model!$567:$567</definedName>
    <definedName name="MO_CFS_Balance_Begin">Model!$616:$616</definedName>
    <definedName name="MO_CFS_Balance_End">Model!$617:$617</definedName>
    <definedName name="MO_CFS_Buyback">Model!$604:$604</definedName>
    <definedName name="MO_CFS_Capex">Model!$595:$595</definedName>
    <definedName name="MO_CFS_CFF">Model!$611:$611</definedName>
    <definedName name="MO_CFS_CFI">Model!$601:$601</definedName>
    <definedName name="MO_CFS_CFO">Model!$585:$585</definedName>
    <definedName name="MO_CFS_CFO_BeforeWC">Model!$577:$577</definedName>
    <definedName name="MO_CFS_DA">Model!$573:$573</definedName>
    <definedName name="MO_CFS_DeferredTax">Model!$574:$574</definedName>
    <definedName name="MO_CFS_Dividend">Model!$606:$606</definedName>
    <definedName name="MO_CFS_FX">Model!$613:$613</definedName>
    <definedName name="MO_CFS_NetChange">Model!$614:$614</definedName>
    <definedName name="MO_CFS_NewEquityIssued">Model!$556:$556</definedName>
    <definedName name="MO_CFS_NI">Model!$571:$571</definedName>
    <definedName name="MO_CFS_Sup_CashInterest">Model!$619:$619</definedName>
    <definedName name="MO_CFS_Sup_CashTax">Model!$620:$620</definedName>
    <definedName name="MO_CFS_WC_AR">Model!$525:$525</definedName>
    <definedName name="MO_CFsum_NetShares">Model!$491:$491</definedName>
    <definedName name="MO_CFSUM_NetShares_Price">Model!$492:$492</definedName>
    <definedName name="MO_Checks_Bottom">Model!$C$668:$XFD$693</definedName>
    <definedName name="MO_Checks_BS">Model!$665:$665</definedName>
    <definedName name="MO_Checks_CF">Model!$622:$622</definedName>
    <definedName name="MO_Checks_IS">Model!$358:$358</definedName>
    <definedName name="MO_Common_Column_A">Model!$A:$A</definedName>
    <definedName name="MO_Common_Column_B">Model!$B:$B</definedName>
    <definedName name="MO_Common_ColumnHeader">Model!$5:$5</definedName>
    <definedName name="MO_Common_CompanySubtitle">Model!$2:$2</definedName>
    <definedName name="MO_Common_CompanyTitle">Model!$1:$1</definedName>
    <definedName name="MO_Common_FPDays">Model!$3:$3</definedName>
    <definedName name="MO_Common_QEndDate">Model!$4:$4</definedName>
    <definedName name="MO_Common_QEndDate_LWD">Model!$819:$819</definedName>
    <definedName name="MO_CR_Debt">Model!$484:$484</definedName>
    <definedName name="MO_CR_Debt_LT">Model!$483:$483</definedName>
    <definedName name="MO_CR_Debt_ST">Model!$482:$482</definedName>
    <definedName name="MO_CR_Debt_ToCapitalRatio">Model!$488:$488</definedName>
    <definedName name="MO_CR_IE">Model!$494:$494</definedName>
    <definedName name="MO_CR_InterestRate_Debt">Model!$495:$495</definedName>
    <definedName name="MO_CR_NetDebtIssuance">Model!$490:$490</definedName>
    <definedName name="MO_CR_NetShares_Price">Model!$492:$492</definedName>
    <definedName name="MO_CR_TotalCapitalization">Model!$486:$486</definedName>
    <definedName name="MO_CR_TotalCommonEquity">Model!$485:$485</definedName>
    <definedName name="MO_DAC_ChangeInDAC">Model!$131:$131</definedName>
    <definedName name="MO_DAC_DAC">Model!$127:$127</definedName>
    <definedName name="MO_DAC_PAEIncurred">Model!$129:$129</definedName>
    <definedName name="MO_DAC_PAEPaid">Model!$130:$130</definedName>
    <definedName name="MO_DAC_PAEPayoutRatio">Model!$133:$133</definedName>
    <definedName name="MO_DS_Dividend">Model!$447:$447</definedName>
    <definedName name="MO_DS_DPS">Model!$448:$448</definedName>
    <definedName name="MO_DS_PayoutRatio">Model!$450:$450</definedName>
    <definedName name="MO_GA_GWRGrowth">Model!$10:$10</definedName>
    <definedName name="MO_GA_NEPGrowth">Model!$11:$11</definedName>
    <definedName name="MO_GA_UIGrowth">Model!$12:$12</definedName>
    <definedName name="MO_II_InvestmentBalance">Model!$158:$158</definedName>
    <definedName name="MO_II_NetIG">Model!$164:$164</definedName>
    <definedName name="MO_II_NetII">Model!$162:$162</definedName>
    <definedName name="MO_II_NetIIYield">Model!$160:$160</definedName>
    <definedName name="MO_IS_EBT">Model!$354:$354</definedName>
    <definedName name="MO_IS_FirstRow">Model!$343:$343</definedName>
    <definedName name="MO_IS_GA">Model!$351:$351</definedName>
    <definedName name="MO_IS_IE">Model!$352:$352</definedName>
    <definedName name="MO_IS_NI_ContinOp">Model!$356:$356</definedName>
    <definedName name="MO_IS_REV">Model!$348:$348</definedName>
    <definedName name="MO_IS_Tax">Model!$355:$355</definedName>
    <definedName name="MO_KPI_ChangeInCUP">Model!$141:$141</definedName>
    <definedName name="MO_KPI_ChangeInDAC">Model!$131:$131</definedName>
    <definedName name="MO_KPI_ChangeInGUPR">Model!$140:$140</definedName>
    <definedName name="MO_KPI_ChangeInNLR">Model!$151:$151</definedName>
    <definedName name="MO_KPI_ChangeInNUPR">Model!$142:$142</definedName>
    <definedName name="MO_KPI_CombinedRatio">Model!$122:$122</definedName>
    <definedName name="MO_KPI_CUP">Model!$137:$137</definedName>
    <definedName name="MO_KPI_CWP">Model!$22:$22</definedName>
    <definedName name="MO_KPI_DAC">Model!$127:$127</definedName>
    <definedName name="MO_KPI_EmployeeCount">Model!$340:$340</definedName>
    <definedName name="MO_KPI_GLR">Model!$145:$145</definedName>
    <definedName name="MO_KPI_GUPR">Model!$136:$136</definedName>
    <definedName name="MO_KPI_GWP">Model!$18:$18</definedName>
    <definedName name="MO_KPI_InvestmentBalance">Model!$158:$158</definedName>
    <definedName name="MO_KPI_Loss">Model!$57:$57</definedName>
    <definedName name="MO_KPI_Loss_exCATS">Model!$54:$54</definedName>
    <definedName name="MO_KPI_LossIncurred">Model!$149:$149</definedName>
    <definedName name="MO_KPI_LossPaid">Model!$150:$150</definedName>
    <definedName name="MO_KPI_LossRatio">Model!$107:$107</definedName>
    <definedName name="MO_KPI_NEP">Model!$39:$39</definedName>
    <definedName name="MO_KPI_NetIG">Model!$164:$164</definedName>
    <definedName name="MO_KPI_NetII">Model!$162:$162</definedName>
    <definedName name="MO_KPI_NetIIYield">Model!$160:$160</definedName>
    <definedName name="MO_KPI_NLR">Model!$147:$147</definedName>
    <definedName name="MO_KPI_NRR">Model!$85:$85</definedName>
    <definedName name="MO_KPI_NUPR">Model!$138:$138</definedName>
    <definedName name="MO_KPI_NWP">Model!$26:$26</definedName>
    <definedName name="MO_KPI_OOE">Model!$67:$67</definedName>
    <definedName name="MO_KPI_OOERatio">Model!$117:$117</definedName>
    <definedName name="MO_KPI_PAE">Model!$62:$62</definedName>
    <definedName name="MO_KPI_PAEIncurred">Model!$129:$129</definedName>
    <definedName name="MO_KPI_PAEPaid">Model!$130:$130</definedName>
    <definedName name="MO_KPI_PAERatio">Model!$112:$112</definedName>
    <definedName name="MO_KPI_RR">Model!$146:$146</definedName>
    <definedName name="MO_KPI_UI">Model!$77:$77</definedName>
    <definedName name="MO_KPI_UnderwritingExpense">Model!$72:$72</definedName>
    <definedName name="MO_KPI_WPERatio">Model!$90:$90</definedName>
    <definedName name="MO_LR_ChangeInNLR">Model!$151:$151</definedName>
    <definedName name="MO_LR_GLR">Model!$145:$145</definedName>
    <definedName name="MO_LR_LossIncurred">Model!$149:$149</definedName>
    <definedName name="MO_LR_LossPaid">Model!$150:$150</definedName>
    <definedName name="MO_LR_LossPayoutRatio">Model!$153:$153</definedName>
    <definedName name="MO_LR_NLR">Model!$147:$147</definedName>
    <definedName name="MO_LR_RR">Model!$146:$146</definedName>
    <definedName name="MO_OS_EmployeeCount">Model!$340:$340</definedName>
    <definedName name="MO_RIS_Adjustments_Dilution_GAAP">Model!$411:$411</definedName>
    <definedName name="MO_RIS_Adjustments_Dilution_NONGAAP">Model!$414:$414</definedName>
    <definedName name="MO_RIS_Adjustments_NONGAAP">Model!$413:$413</definedName>
    <definedName name="MO_RIS_DisCont">Model!$407:$407</definedName>
    <definedName name="MO_RIS_Dividend_Prefs">Model!$409:$409</definedName>
    <definedName name="MO_RIS_EBT">Model!$400:$400</definedName>
    <definedName name="MO_RIS_EI">Model!$406:$406</definedName>
    <definedName name="MO_RIS_EPS_WAB">Model!$420:$420</definedName>
    <definedName name="MO_RIS_EPS_WAD">Model!$421:$421</definedName>
    <definedName name="MO_RIS_EPS_WAD_Adj">Model!$422:$422</definedName>
    <definedName name="MO_RIS_IE">Model!$399:$399</definedName>
    <definedName name="MO_RIS_Loss">Model!$396:$396</definedName>
    <definedName name="MO_RIS_NCI">Model!$408:$408</definedName>
    <definedName name="MO_RIS_NEP">Model!$389:$389</definedName>
    <definedName name="MO_RIS_NetIG">Model!$391:$391</definedName>
    <definedName name="MO_RIS_NetII">Model!$390:$390</definedName>
    <definedName name="MO_RIS_NI_ContinOp">Model!$405:$405</definedName>
    <definedName name="MO_RIS_NI_GAAP_Basic">Model!$410:$410</definedName>
    <definedName name="MO_RIS_NI_GAAP_Diluted">Model!$412:$412</definedName>
    <definedName name="MO_RIS_NI_NONGAAP_Diluted">Model!$415:$415</definedName>
    <definedName name="MO_RIS_OOE">Model!$398:$398</definedName>
    <definedName name="MO_RIS_OtherIncome">Model!$392:$392</definedName>
    <definedName name="MO_RIS_PAE">Model!$397:$397</definedName>
    <definedName name="MO_RIS_REV">Model!$393:$393</definedName>
    <definedName name="MO_RIS_ShareCount_EoPB">Model!$430:$430</definedName>
    <definedName name="MO_RIS_ShareCount_WAB">Model!$425:$425</definedName>
    <definedName name="MO_RIS_ShareCount_WAD">Model!$426:$426</definedName>
    <definedName name="MO_RIS_ShareCount_WAD_Adj">Model!$427:$427</definedName>
    <definedName name="MO_RIS_Tax_Current">Model!$403:$403</definedName>
    <definedName name="MO_RIS_Tax_Deferred">Model!$404:$404</definedName>
    <definedName name="MO_RIS_TaxRate_Current">Model!$417:$417</definedName>
    <definedName name="MO_RIS_TaxRate_Deferred">Model!$418:$418</definedName>
    <definedName name="MO_SCA_Date_CoverPage">Model!$439:$439</definedName>
    <definedName name="MO_SCA_Ratio_DilutedOverBasic">Model!$442:$442</definedName>
    <definedName name="MO_SCA_ShareCount_CoverPage">Model!$438:$438</definedName>
    <definedName name="MO_SCA_ShareCount_CoverPage_Class1">Model!$438:$438</definedName>
    <definedName name="MO_SCA_ShareCount_CoverPage_Ticker1">Model!$438:$438</definedName>
    <definedName name="MO_SCA_ShareCount_DilutiveShares">Model!$441:$441</definedName>
    <definedName name="MO_SCA_ShareCount_EoP">Model!$430:$430</definedName>
    <definedName name="MO_SCA_ShareCount_EoP_Class1">Model!$430:$430</definedName>
    <definedName name="MO_SCA_ShareCount_EoP_Diluted">Model!$444:$444</definedName>
    <definedName name="MO_SCA_ShareCount_EoP_Growth_Dilutive_QoQ">Model!$431:$431</definedName>
    <definedName name="MO_SCA_ShareCount_EoP_Growth_Dilutive_YoY">Model!$432:$432</definedName>
    <definedName name="MO_SCA_ShareCount_EoP_Growth_NetIssuance_QoQ">Model!$433:$433</definedName>
    <definedName name="MO_SCA_ShareCount_EoP_Growth_NetIssuance_YoY">Model!$434:$434</definedName>
    <definedName name="MO_SCA_ShareCount_EoP_Growth_QoQ">Model!$435:$435</definedName>
    <definedName name="MO_SCA_ShareCount_EoP_Growth_YoY">Model!$436:$436</definedName>
    <definedName name="MO_SCA_ShareCount_EoP_Ticker1">Model!$430:$430</definedName>
    <definedName name="MO_Section_AdjustedNumbers">Model!$360:$360</definedName>
    <definedName name="MO_Section_BalanceSheet">Model!$624:$624</definedName>
    <definedName name="MO_Section_BalanceSheetSummary">Model!$452:$452</definedName>
    <definedName name="MO_Section_CapitalResources">Model!$481:$481</definedName>
    <definedName name="MO_Section_CashFlowStatement">Model!$569:$569</definedName>
    <definedName name="MO_Section_CumulativeCashFlowStatement">Model!$516:$516</definedName>
    <definedName name="MO_Section_DAC">Model!$126:$126</definedName>
    <definedName name="MO_Section_DividendSummary">Model!$446:$446</definedName>
    <definedName name="MO_Section_GrowthAnalysis">Model!$6:$6</definedName>
    <definedName name="MO_Section_II">Model!$155:$155</definedName>
    <definedName name="MO_Section_IncomeStatement">Model!$342:$342</definedName>
    <definedName name="MO_Section_KeyMetricsBondSpecialtyInsuranceNWPbyMarketProductLinePRSupplemental">Model!$268:$268</definedName>
    <definedName name="MO_Section_KeyMetricsBondSpecialtyInsuranceStatutoryUnderwritingSupplemental">Model!$258:$258</definedName>
    <definedName name="MO_Section_KeyMetricsBusinessInsuranceNWPbyMarketProductLinePRSupplemental">Model!$210:$210</definedName>
    <definedName name="MO_Section_KeyMetricsBusinessInsuranceStatutoryUnderwritingSupplemental">Model!$200:$200</definedName>
    <definedName name="MO_Section_KeyMetricsEmployeesFS">Model!$339:$339</definedName>
    <definedName name="MO_Section_KeyMetricsPersonalInsuranceNWPbyMarketPRSupplemental">Model!$320:$320</definedName>
    <definedName name="MO_Section_KeyMetricsPersonalInsuranceStatutoryUnderwritingSupplemental">Model!$309:$309</definedName>
    <definedName name="MO_Section_LastRow">Model!$842:$842</definedName>
    <definedName name="MO_Section_LR">Model!$144:$144</definedName>
    <definedName name="MO_Section_ModelChecks">Model!$667:$667</definedName>
    <definedName name="MO_Section_OtherIncome">Model!$166:$166</definedName>
    <definedName name="MO_Section_RevisedIncomeStatement">Model!$388:$388</definedName>
    <definedName name="MO_Section_SegmentedResultsBondSpecialtyInsuranceSupplemental">Model!$231:$231</definedName>
    <definedName name="MO_Section_SegmentedResultsBusinessInsuranceSupplemental">Model!$173:$173</definedName>
    <definedName name="MO_Section_SegmentedResultsInterestExpenseOtherSupplemental">Model!$329:$329</definedName>
    <definedName name="MO_Section_SegmentedResultsPersonalInsuranceSupplemental">Model!$282:$282</definedName>
    <definedName name="MO_Section_ShareCountAnalysis">Model!$429:$429</definedName>
    <definedName name="MO_Section_SIC">Model!$497:$497</definedName>
    <definedName name="MO_Section_Tables">Model!$695:$695</definedName>
    <definedName name="MO_Section_UI">Model!$14:$14</definedName>
    <definedName name="MO_Section_UPR">Model!$135:$135</definedName>
    <definedName name="MO_Section_UR">Model!$81:$81</definedName>
    <definedName name="MO_Section_Valuation">Model!$501:$501</definedName>
    <definedName name="MO_SIC_StatutoryCapital">Model!$498:$498</definedName>
    <definedName name="MO_SIC_StatutoryIncome">Model!$499:$499</definedName>
    <definedName name="MO_SNA_ConsensusEstimatePeriodNumber">Model!$777:$777</definedName>
    <definedName name="MO_SNA_ConsensusEstimatePeriodType">Model!$776:$776</definedName>
    <definedName name="MO_SNA_FPStartDate">Model!$789:$789</definedName>
    <definedName name="MO_SNA_Guidance_ApplicablePeriod_FY">Model!$772:$772</definedName>
    <definedName name="MO_SNA_Guidance_ApplicablePeriod_Q">Model!$766:$766</definedName>
    <definedName name="MO_SNA_Guidance_IsLatest_FY">Model!$771:$771</definedName>
    <definedName name="MO_SNA_Guidance_ReportDate_FY">Model!$770:$770</definedName>
    <definedName name="MO_SNA_Guidance_ReportDate_Q">Model!$765:$765</definedName>
    <definedName name="MO_SNA_IsHistoricalPeriod">Model!$790:$790</definedName>
    <definedName name="MO_SNA_LastDataRow">Model!$663:$663</definedName>
    <definedName name="MO_SPT_FXAverage">Model!$812:$812</definedName>
    <definedName name="MO_SPT_FXAverage_Sources">Model!$813:$817</definedName>
    <definedName name="MO_SPT_FXAverage_Sources_Bloomberg">Model!$814:$814</definedName>
    <definedName name="MO_SPT_FXAverage_Sources_CapIQ">Model!$815:$815</definedName>
    <definedName name="MO_SPT_FXAverage_Sources_FactSet">Model!$816:$816</definedName>
    <definedName name="MO_SPT_FXAverage_Sources_RealTimeOff">Model!$813:$813</definedName>
    <definedName name="MO_SPT_FXAverage_Sources_Thomson">Model!$817:$817</definedName>
    <definedName name="MO_SPT_FXEoP">Model!$821:$821</definedName>
    <definedName name="MO_SPT_StockAverage">Model!$805:$805</definedName>
    <definedName name="MO_SPT_StockAverage_Sources">Model!$806:$810</definedName>
    <definedName name="MO_SPT_StockAverage_Sources_Bloomberg">Model!$807:$807</definedName>
    <definedName name="MO_SPT_StockAverage_Sources_CapIQ">Model!$808:$808</definedName>
    <definedName name="MO_SPT_StockAverage_Sources_FactSet">Model!$809:$809</definedName>
    <definedName name="MO_SPT_StockAverage_Sources_RealTimeOff">Model!$806:$806</definedName>
    <definedName name="MO_SPT_StockAverage_Sources_Thomson">Model!$810:$810</definedName>
    <definedName name="MO_SPT_StockEoP">Model!$820:$820</definedName>
    <definedName name="MO_SPT_StockHigh">Model!$791:$791</definedName>
    <definedName name="MO_SPT_StockHigh_Sources">Model!$792:$796</definedName>
    <definedName name="MO_SPT_StockHigh_Sources_Bloomberg">Model!$793:$793</definedName>
    <definedName name="MO_SPT_StockHigh_Sources_CapIQ">Model!$794:$794</definedName>
    <definedName name="MO_SPT_StockHigh_Sources_FactSet">Model!$795:$795</definedName>
    <definedName name="MO_SPT_StockHigh_Sources_RealTimeOff">Model!$792:$792</definedName>
    <definedName name="MO_SPT_StockHigh_Sources_Thomson">Model!$796:$796</definedName>
    <definedName name="MO_SPT_StockLow">Model!$798:$798</definedName>
    <definedName name="MO_SPT_StockLow_Sources">Model!$799:$803</definedName>
    <definedName name="MO_SPT_StockLow_Sources_Bloomberg">Model!$800:$800</definedName>
    <definedName name="MO_SPT_StockLow_Sources_CapIQ">Model!$801:$801</definedName>
    <definedName name="MO_SPT_StockLow_Sources_FactSet">Model!$802:$802</definedName>
    <definedName name="MO_SPT_StockLow_Sources_RealTimeOff">Model!$799:$799</definedName>
    <definedName name="MO_SPT_StockLow_Sources_Thomson">Model!$803:$803</definedName>
    <definedName name="MO_SubSection_BS_SE">Model!$655:$655</definedName>
    <definedName name="MO_SubSection_BS_TA">Model!$625:$625</definedName>
    <definedName name="MO_SubSection_BS_TL">Model!$645:$645</definedName>
    <definedName name="MO_SubSection_CCFS_CFF">Model!$550:$550</definedName>
    <definedName name="MO_SubSection_CCFS_CFI">Model!$534:$534</definedName>
    <definedName name="MO_SubSection_CCFS_CFO">Model!$517:$517</definedName>
    <definedName name="MO_SubSection_CFS_CFF">Model!$603:$603</definedName>
    <definedName name="MO_SubSection_CFS_CFI">Model!$587:$587</definedName>
    <definedName name="MO_SubSection_CFS_CFO">Model!$570:$570</definedName>
    <definedName name="MO_UI_CEP">Model!$35:$35</definedName>
    <definedName name="MO_UI_CWP">Model!$22:$22</definedName>
    <definedName name="MO_UI_GEP">Model!$31:$31</definedName>
    <definedName name="MO_UI_GWP">Model!$18:$18</definedName>
    <definedName name="MO_UI_Loss">Model!$57:$57</definedName>
    <definedName name="MO_UI_Loss_exCATS">Model!$54:$54</definedName>
    <definedName name="MO_UI_NEP">Model!$39:$39</definedName>
    <definedName name="MO_UI_NWP">Model!$26:$26</definedName>
    <definedName name="MO_UI_OOE">Model!$67:$67</definedName>
    <definedName name="MO_UI_PAE">Model!$62:$62</definedName>
    <definedName name="MO_UI_UI">Model!$77:$77</definedName>
    <definedName name="MO_UI_UnderwritingExpense">Model!$72:$72</definedName>
    <definedName name="MO_UPR_ChangeInCUP">Model!$141:$141</definedName>
    <definedName name="MO_UPR_ChangeInGUPR">Model!$140:$140</definedName>
    <definedName name="MO_UPR_ChangeInNUPR">Model!$142:$142</definedName>
    <definedName name="MO_UPR_CUP">Model!$137:$137</definedName>
    <definedName name="MO_UPR_GUPR">Model!$136:$136</definedName>
    <definedName name="MO_UPR_NUPR">Model!$138:$138</definedName>
    <definedName name="MO_UR_CombinedRatio">Model!$122:$122</definedName>
    <definedName name="MO_UR_LossRatio">Model!$107:$107</definedName>
    <definedName name="MO_UR_NRR">Model!$85:$85</definedName>
    <definedName name="MO_UR_OOERatio">Model!$117:$117</definedName>
    <definedName name="MO_UR_PAERatio">Model!$112:$112</definedName>
    <definedName name="MO_UR_WPERatio">Model!$90:$90</definedName>
    <definedName name="MO_VA_FX_Average">Model!$512:$512</definedName>
    <definedName name="MO_VA_FX_EoP">Model!$513:$513</definedName>
    <definedName name="MO_VA_MarketCap">Model!$503:$503</definedName>
    <definedName name="MO_VA_P_ToB">Model!$506:$506</definedName>
    <definedName name="MO_VA_P_ToE">Model!$505:$505</definedName>
    <definedName name="MO_VA_StockPrice">Model!$502:$502</definedName>
    <definedName name="MO_VA_StockPrice_Avg">Model!$510:$510</definedName>
    <definedName name="MO_VA_StockPrice_EoP">Model!$511:$511</definedName>
    <definedName name="MO_VA_StockPrice_High">Model!$508:$508</definedName>
    <definedName name="MO_VA_StockPrice_Low">Model!$509:$509</definedName>
    <definedName name="MO_VA_StockPrice_TradingCurrency">Model!$514:$514</definedName>
    <definedName name="_xlnm.Print_Area" localSheetId="1">Model!$A$1:$BR$663</definedName>
    <definedName name="_xlnm.Print_Area" localSheetId="2">'Summary Page'!$A$1:$BR$79</definedName>
    <definedName name="_xlnm.Print_Titles" localSheetId="1">Model!$5:$5</definedName>
    <definedName name="SP.CompanyName">'Summary Page'!$A$1</definedName>
    <definedName name="SP.ReportFX">'Summary Page'!$B$2</definedName>
    <definedName name="SP.ValuationToggle">'Summary Page'!$B$4</definedName>
    <definedName name="SP_BSS_ABVPS">'Summary Page'!$74:$74</definedName>
    <definedName name="SP_BSS_BVPS">'Summary Page'!$73:$73</definedName>
    <definedName name="SP_BSS_NLR">'Summary Page'!$70:$70</definedName>
    <definedName name="SP_BSS_NTR">'Summary Page'!$71:$71</definedName>
    <definedName name="SP_BSS_NUPR">'Summary Page'!$69:$69</definedName>
    <definedName name="SP_BSS_TBVPS">'Summary Page'!$75:$75</definedName>
    <definedName name="SP_Checks_SummaryPage">'Summary Page'!$C$82:$XFD$83</definedName>
    <definedName name="SP_Common_Column_A">'Summary Page'!$A:$A</definedName>
    <definedName name="SP_Common_Column_B">'Summary Page'!$B:$B</definedName>
    <definedName name="SP_Common_ColumnHeader">'Summary Page'!$2:$2</definedName>
    <definedName name="SP_Common_QEndDate">'Summary Page'!$1:$1</definedName>
    <definedName name="SP_CS_MarketCap">'Summary Page'!$6:$6</definedName>
    <definedName name="SP_CS_ShareCount">'Summary Page'!$5:$5</definedName>
    <definedName name="SP_CS_ShareCount_EoP_Diluted">'Summary Page'!$5:$5</definedName>
    <definedName name="SP_CS_StockPrice">'Summary Page'!$4:$4</definedName>
    <definedName name="SP_DS_DPS">'Summary Page'!$59:$59</definedName>
    <definedName name="SP_DS_PayoutRatio">'Summary Page'!$60:$60</definedName>
    <definedName name="SP_GF_Adjustments_Dilution">'Summary Page'!$49:$49</definedName>
    <definedName name="SP_GF_DisCont">'Summary Page'!$45:$45</definedName>
    <definedName name="SP_GF_Div_Prefs">'Summary Page'!$47:$47</definedName>
    <definedName name="SP_GF_EBT">'Summary Page'!$42:$42</definedName>
    <definedName name="SP_GF_EI">'Summary Page'!$44:$44</definedName>
    <definedName name="SP_GF_EPS_WAD">'Summary Page'!$51:$51</definedName>
    <definedName name="SP_GF_IE">'Summary Page'!$41:$41</definedName>
    <definedName name="SP_GF_Loss">'Summary Page'!$38:$38</definedName>
    <definedName name="SP_GF_NCI">'Summary Page'!$46:$46</definedName>
    <definedName name="SP_GF_NEP">'Summary Page'!$33:$33</definedName>
    <definedName name="SP_GF_NetIG">'Summary Page'!$35:$35</definedName>
    <definedName name="SP_GF_NetII">'Summary Page'!$34:$34</definedName>
    <definedName name="SP_GF_NI">'Summary Page'!$48:$48</definedName>
    <definedName name="SP_GF_NI_Diluted">'Summary Page'!$50:$50</definedName>
    <definedName name="SP_GF_OOE">'Summary Page'!$40:$40</definedName>
    <definedName name="SP_GF_OtherIncome">'Summary Page'!$36:$36</definedName>
    <definedName name="SP_GF_PAE">'Summary Page'!$39:$39</definedName>
    <definedName name="SP_GF_Rev">'Summary Page'!$37:$37</definedName>
    <definedName name="SP_GF_ShareCount">'Summary Page'!$52:$52</definedName>
    <definedName name="SP_GF_Tax">'Summary Page'!$43:$43</definedName>
    <definedName name="SP_II_InvestmentBalance">'Summary Page'!$26:$26</definedName>
    <definedName name="SP_II_NetIG">'Summary Page'!$30:$30</definedName>
    <definedName name="SP_II_NetII">'Summary Page'!$28:$28</definedName>
    <definedName name="SP_NGF_EPS">'Summary Page'!$56:$56</definedName>
    <definedName name="SP_NGF_NI">'Summary Page'!$55:$55</definedName>
    <definedName name="SP_PR_ROA">'Summary Page'!$63:$63</definedName>
    <definedName name="SP_PR_ROAE">'Summary Page'!$65:$65</definedName>
    <definedName name="SP_PR_ROE">'Summary Page'!$64:$64</definedName>
    <definedName name="SP_PR_ROTE">'Summary Page'!$66:$66</definedName>
    <definedName name="SP_Section_BalanceSheetSummary">'Summary Page'!$68:$68</definedName>
    <definedName name="SP_Section_CapitalizationSummary">'Summary Page'!$3:$3</definedName>
    <definedName name="SP_Section_Checks">'Summary Page'!$81:$81</definedName>
    <definedName name="SP_Section_DividendSummary">'Summary Page'!$58:$58</definedName>
    <definedName name="SP_Section_GAAPFinancials">'Summary Page'!$32:$32</definedName>
    <definedName name="SP_Section_II">'Summary Page'!$25:$25</definedName>
    <definedName name="SP_Section_LastRow">'Summary Page'!$85:$85</definedName>
    <definedName name="SP_Section_NonGAAPFinancials">'Summary Page'!$54:$54</definedName>
    <definedName name="SP_Section_ProfitabilityRatios">'Summary Page'!$62:$62</definedName>
    <definedName name="SP_Section_UI">'Summary Page'!$8:$8</definedName>
    <definedName name="SP_Section_UR">'Summary Page'!$19:$19</definedName>
    <definedName name="SP_Section_ValuationMetrics">'Summary Page'!$77:$77</definedName>
    <definedName name="SP_UI_Loss">'Summary Page'!$12:$12</definedName>
    <definedName name="SP_UI_NEP">'Summary Page'!$10:$10</definedName>
    <definedName name="SP_UI_NWP">'Summary Page'!$9:$9</definedName>
    <definedName name="SP_UI_OOE">'Summary Page'!$14:$14</definedName>
    <definedName name="SP_UI_PAE">'Summary Page'!$13:$13</definedName>
    <definedName name="SP_UI_UI">'Summary Page'!$17:$17</definedName>
    <definedName name="SP_UI_UnderwritingExpense">'Summary Page'!$15:$15</definedName>
    <definedName name="SP_UR_CombinedRatio">'Summary Page'!$23:$23</definedName>
    <definedName name="SP_UR_LossRatio">'Summary Page'!$20:$20</definedName>
    <definedName name="SP_UR_OOERatio">'Summary Page'!$22:$22</definedName>
    <definedName name="SP_UR_PAERatio">'Summary Page'!$21:$21</definedName>
    <definedName name="SP_VM_P_ToB">'Summary Page'!$79:$79</definedName>
    <definedName name="SP_VM_P_ToE">'Summary Page'!$78:$78</definedName>
    <definedName name="tb_ConsensusEstimate">Model!$A$775:$BR$786</definedName>
    <definedName name="tb_EntireModel">Model!$A$1:$BR$665</definedName>
    <definedName name="tb_Guidance_FY">Model!$A$769:$BR$773</definedName>
    <definedName name="tb_Guidance_Q">Model!$A$764:$BR$767</definedName>
    <definedName name="tb_KeyOutputs">Model!$A$710:$A$717</definedName>
    <definedName name="tb_KPIs">Model!$A$719:$A$762</definedName>
    <definedName name="tb_StockPrice">Model!$A$788:$BR$818</definedName>
    <definedName name="tb_Tickers">Model!$A$697:$A$702</definedName>
    <definedName name="tb_UpdateLog">'Update Log'!$C$10:$H$42</definedName>
    <definedName name="tb_ValuationToggle">Model!$A$704:$B$708</definedName>
    <definedName name="UL.CSIN">'Update Log'!$H$7</definedName>
    <definedName name="UL.ModelVersion">'Update Log'!$H$8</definedName>
    <definedName name="UL.MRQ">'Update Log'!$F$7</definedName>
    <definedName name="UL.MRQColNum">'Update Log'!$E$7</definedName>
    <definedName name="WS.CanalystName" localSheetId="0">"Front Page"</definedName>
    <definedName name="WS.CanalystName" localSheetId="1">"Model"</definedName>
    <definedName name="WS.CanalystName" localSheetId="2">"Summary Page"</definedName>
    <definedName name="WS.CanalystName" localSheetId="3">"Update Log"</definedName>
    <definedName name="z_86R6WP0138_MO_AN_Coreincome">Model!$374:$374</definedName>
    <definedName name="z_86R6WP0138_MO_AN_Impactofchangesintaxlawsandortaxrates">Model!$372:$372</definedName>
    <definedName name="z_86R6WP0138_MO_AN_Impactofchangesintaxlawsandortaxrates_1">Model!$378:$378</definedName>
    <definedName name="z_86R6WP0138_MO_AN_Impactofchangesintaxlawsandortaxrates_2">Model!$384:$384</definedName>
    <definedName name="z_86R6WP0138_MO_AN_ImpactofTCJAatenactment">Model!$373:$373</definedName>
    <definedName name="z_86R6WP0138_MO_AN_NetIncome">Model!$370:$370</definedName>
    <definedName name="z_86R6WP0138_MO_AN_Netrealizedinvestmentgains">Model!$371:$371</definedName>
    <definedName name="z_86R6WP0138_MO_BlankRow_AN">Model!$375:$375</definedName>
    <definedName name="z_86R6WP0138_MO_BlankRow_BS_5">Model!$644:$644</definedName>
    <definedName name="z_86R6WP0138_MO_BlankRow_BS_6">Model!$654:$654</definedName>
    <definedName name="z_86R6WP0138_MO_BlankRow_BS_7">Model!$664:$664</definedName>
    <definedName name="z_86R6WP0138_MO_BlankRow_BS_8">Model!$666:$666</definedName>
    <definedName name="z_86R6WP0138_MO_BlankRow_BSS">Model!$456:$456</definedName>
    <definedName name="z_86R6WP0138_MO_BlankRow_BSS_1">Model!$459:$459</definedName>
    <definedName name="z_86R6WP0138_MO_BlankRow_BSS_2">Model!$469:$469</definedName>
    <definedName name="z_86R6WP0138_MO_BlankRow_BSS_3">Model!$474:$474</definedName>
    <definedName name="z_86R6WP0138_MO_BlankRow_BSS_4">Model!$480:$480</definedName>
    <definedName name="z_86R6WP0138_MO_BlankRow_CCFS">Model!$533:$533</definedName>
    <definedName name="z_86R6WP0138_MO_BlankRow_CCFS_1">Model!$549:$549</definedName>
    <definedName name="z_86R6WP0138_MO_BlankRow_CCFS_2">Model!$559:$559</definedName>
    <definedName name="z_86R6WP0138_MO_BlankRow_CCFS_3">Model!$562:$562</definedName>
    <definedName name="z_86R6WP0138_MO_BlankRow_CCFS_4">Model!$568:$568</definedName>
    <definedName name="z_86R6WP0138_MO_BlankRow_CCFS_5">Model!$565:$565</definedName>
    <definedName name="z_86R6WP0138_MO_BlankRow_CFS">Model!$586:$586</definedName>
    <definedName name="z_86R6WP0138_MO_BlankRow_CFS_1">Model!$602:$602</definedName>
    <definedName name="z_86R6WP0138_MO_BlankRow_CFS_2">Model!$612:$612</definedName>
    <definedName name="z_86R6WP0138_MO_BlankRow_CFS_3">Model!$615:$615</definedName>
    <definedName name="z_86R6WP0138_MO_BlankRow_CFS_4">Model!$621:$621</definedName>
    <definedName name="z_86R6WP0138_MO_BlankRow_CFS_5">Model!$623:$623</definedName>
    <definedName name="z_86R6WP0138_MO_BlankRow_CFS_6">Model!$618:$618</definedName>
    <definedName name="z_86R6WP0138_MO_BlankRow_DS">Model!$449:$449</definedName>
    <definedName name="z_86R6WP0138_MO_BlankRow_DS_1">Model!$451:$451</definedName>
    <definedName name="z_86R6WP0138_MO_BlankRow_GA">Model!$13:$13</definedName>
    <definedName name="z_86R6WP0138_MO_BlankRow_IS">Model!$357:$357</definedName>
    <definedName name="z_86R6WP0138_MO_BlankRow_IS_1">Model!$359:$359</definedName>
    <definedName name="z_86R6WP0138_MO_BlankRow_MA">Model!$504:$504</definedName>
    <definedName name="z_86R6WP0138_MO_BlankRow_MA_1">Model!$515:$515</definedName>
    <definedName name="z_86R6WP0138_MO_BlankRow_MA_2">Model!$507:$507</definedName>
    <definedName name="z_86R6WP0138_MO_BlankRow_OS">Model!$27:$27</definedName>
    <definedName name="z_86R6WP0138_MO_BlankRow_OS_1">Model!$41:$41</definedName>
    <definedName name="z_86R6WP0138_MO_BlankRow_OS_10">Model!$152:$152</definedName>
    <definedName name="z_86R6WP0138_MO_BlankRow_OS_11">Model!$154:$154</definedName>
    <definedName name="z_86R6WP0138_MO_BlankRow_OS_12">Model!$159:$159</definedName>
    <definedName name="z_86R6WP0138_MO_BlankRow_OS_13">Model!$161:$161</definedName>
    <definedName name="z_86R6WP0138_MO_BlankRow_OS_14">Model!$163:$163</definedName>
    <definedName name="z_86R6WP0138_MO_BlankRow_OS_15">Model!$165:$165</definedName>
    <definedName name="z_86R6WP0138_MO_BlankRow_OS_16">Model!$369:$369</definedName>
    <definedName name="z_86R6WP0138_MO_BlankRow_OS_17">Model!$381:$381</definedName>
    <definedName name="z_86R6WP0138_MO_BlankRow_OS_18">Model!$387:$387</definedName>
    <definedName name="z_86R6WP0138_MO_BlankRow_OS_19">Model!$500:$500</definedName>
    <definedName name="z_86R6WP0138_MO_BlankRow_OS_2">Model!$73:$73</definedName>
    <definedName name="z_86R6WP0138_MO_BlankRow_OS_20">Model!$63:$63</definedName>
    <definedName name="z_86R6WP0138_MO_BlankRow_OS_21">Model!$68:$68</definedName>
    <definedName name="z_86R6WP0138_MO_BlankRow_OS_22">Model!$113:$113</definedName>
    <definedName name="z_86R6WP0138_MO_BlankRow_OS_23">Model!$118:$118</definedName>
    <definedName name="z_86R6WP0138_MO_BlankRow_OS_24">Model!$186:$186</definedName>
    <definedName name="z_86R6WP0138_MO_BlankRow_OS_25">Model!$191:$191</definedName>
    <definedName name="z_86R6WP0138_MO_BlankRow_OS_26">Model!$195:$195</definedName>
    <definedName name="z_86R6WP0138_MO_BlankRow_OS_28">Model!$244:$244</definedName>
    <definedName name="z_86R6WP0138_MO_BlankRow_OS_29">Model!$249:$249</definedName>
    <definedName name="z_86R6WP0138_MO_BlankRow_OS_3">Model!$80:$80</definedName>
    <definedName name="z_86R6WP0138_MO_BlankRow_OS_30">Model!$253:$253</definedName>
    <definedName name="z_86R6WP0138_MO_BlankRow_OS_31">Model!$281:$281</definedName>
    <definedName name="z_86R6WP0138_MO_BlankRow_OS_32">Model!$295:$295</definedName>
    <definedName name="z_86R6WP0138_MO_BlankRow_OS_33">Model!$300:$300</definedName>
    <definedName name="z_86R6WP0138_MO_BlankRow_OS_34">Model!$304:$304</definedName>
    <definedName name="z_86R6WP0138_MO_BlankRow_OS_35">Model!$328:$328</definedName>
    <definedName name="z_86R6WP0138_MO_BlankRow_OS_36">Model!$199:$199</definedName>
    <definedName name="z_86R6WP0138_MO_BlankRow_OS_37">Model!$209:$209</definedName>
    <definedName name="z_86R6WP0138_MO_BlankRow_OS_38">Model!$220:$220</definedName>
    <definedName name="z_86R6WP0138_MO_BlankRow_OS_39">Model!$230:$230</definedName>
    <definedName name="z_86R6WP0138_MO_BlankRow_OS_4">Model!$86:$86</definedName>
    <definedName name="z_86R6WP0138_MO_BlankRow_OS_40">Model!$257:$257</definedName>
    <definedName name="z_86R6WP0138_MO_BlankRow_OS_41">Model!$267:$267</definedName>
    <definedName name="z_86R6WP0138_MO_BlankRow_OS_42">Model!$274:$274</definedName>
    <definedName name="z_86R6WP0138_MO_BlankRow_OS_43">Model!$308:$308</definedName>
    <definedName name="z_86R6WP0138_MO_BlankRow_OS_44">Model!$316:$316</definedName>
    <definedName name="z_86R6WP0138_MO_BlankRow_OS_45">Model!$319:$319</definedName>
    <definedName name="z_86R6WP0138_MO_BlankRow_OS_46">Model!$58:$58</definedName>
    <definedName name="z_86R6WP0138_MO_BlankRow_OS_47">Model!$108:$108</definedName>
    <definedName name="z_86R6WP0138_MO_BlankRow_OS_48">Model!$338:$338</definedName>
    <definedName name="z_86R6WP0138_MO_BlankRow_OS_49">Model!$487:$487</definedName>
    <definedName name="z_86R6WP0138_MO_BlankRow_OS_5">Model!$91:$91</definedName>
    <definedName name="z_86R6WP0138_MO_BlankRow_OS_50">Model!$489:$489</definedName>
    <definedName name="z_86R6WP0138_MO_BlankRow_OS_51">Model!$493:$493</definedName>
    <definedName name="z_86R6WP0138_MO_BlankRow_OS_52">Model!$496:$496</definedName>
    <definedName name="z_86R6WP0138_MO_BlankRow_OS_53">Model!$128:$128</definedName>
    <definedName name="z_86R6WP0138_MO_BlankRow_OS_54">Model!$132:$132</definedName>
    <definedName name="z_86R6WP0138_MO_BlankRow_OS_55">Model!$134:$134</definedName>
    <definedName name="z_86R6WP0138_MO_BlankRow_OS_56">Model!$170:$170</definedName>
    <definedName name="z_86R6WP0138_MO_BlankRow_OS_57">Model!$172:$172</definedName>
    <definedName name="z_86R6WP0138_MO_BlankRow_OS_58">Model!$437:$437</definedName>
    <definedName name="z_86R6WP0138_MO_BlankRow_OS_59">Model!$445:$445</definedName>
    <definedName name="z_86R6WP0138_MO_BlankRow_OS_6">Model!$125:$125</definedName>
    <definedName name="z_86R6WP0138_MO_BlankRow_OS_60">Model!$341:$341</definedName>
    <definedName name="z_86R6WP0138_MO_BlankRow_OS_61">Model!$440:$440</definedName>
    <definedName name="z_86R6WP0138_MO_BlankRow_OS_62">Model!$443:$443</definedName>
    <definedName name="z_86R6WP0138_MO_BlankRow_OS_7">Model!$139:$139</definedName>
    <definedName name="z_86R6WP0138_MO_BlankRow_OS_8">Model!$143:$143</definedName>
    <definedName name="z_86R6WP0138_MO_BlankRow_OS_9">Model!$148:$148</definedName>
    <definedName name="z_86R6WP0138_MO_BlankRow_RIS">Model!$395:$395</definedName>
    <definedName name="z_86R6WP0138_MO_BlankRow_RIS_1">Model!$402:$402</definedName>
    <definedName name="z_86R6WP0138_MO_BlankRow_RIS_2">Model!$416:$416</definedName>
    <definedName name="z_86R6WP0138_MO_BlankRow_RIS_3">Model!$419:$419</definedName>
    <definedName name="z_86R6WP0138_MO_BlankRow_RIS_4">Model!$424:$424</definedName>
    <definedName name="z_86R6WP0138_MO_BlankRow_RIS_5">Model!$428:$428</definedName>
    <definedName name="z_86R6WP0138_MO_BlankRow_SNA">Model!$694:$694</definedName>
    <definedName name="z_86R6WP0138_MO_BlankRow_SNA_1">Model!$696:$696</definedName>
    <definedName name="z_86R6WP0138_MO_BlankRow_SNA_10">Model!$811:$811</definedName>
    <definedName name="z_86R6WP0138_MO_BlankRow_SNA_11">Model!$818:$818</definedName>
    <definedName name="z_86R6WP0138_MO_BlankRow_SNA_12">Model!$823:$823</definedName>
    <definedName name="z_86R6WP0138_MO_BlankRow_SNA_13">Model!$841:$841</definedName>
    <definedName name="z_86R6WP0138_MO_BlankRow_SNA_14">Model!$822:$822</definedName>
    <definedName name="z_86R6WP0138_MO_BlankRow_SNA_15">Model!$762:$762</definedName>
    <definedName name="z_86R6WP0138_MO_BlankRow_SNA_16">Model!$763:$763</definedName>
    <definedName name="z_86R6WP0138_MO_BlankRow_SNA_17">Model!$767:$767</definedName>
    <definedName name="z_86R6WP0138_MO_BlankRow_SNA_18">Model!$768:$768</definedName>
    <definedName name="z_86R6WP0138_MO_BlankRow_SNA_19">Model!$773:$773</definedName>
    <definedName name="z_86R6WP0138_MO_BlankRow_SNA_2">Model!$703:$703</definedName>
    <definedName name="z_86R6WP0138_MO_BlankRow_SNA_20">Model!$774:$774</definedName>
    <definedName name="z_86R6WP0138_MO_BlankRow_SNA_3">Model!$709:$709</definedName>
    <definedName name="z_86R6WP0138_MO_BlankRow_SNA_4">Model!$717:$717</definedName>
    <definedName name="z_86R6WP0138_MO_BlankRow_SNA_5">Model!$718:$718</definedName>
    <definedName name="z_86R6WP0138_MO_BlankRow_SNA_6">Model!$786:$786</definedName>
    <definedName name="z_86R6WP0138_MO_BlankRow_SNA_7">Model!$787:$787</definedName>
    <definedName name="z_86R6WP0138_MO_BlankRow_SNA_8">Model!$797:$797</definedName>
    <definedName name="z_86R6WP0138_MO_BlankRow_SNA_9">Model!$804:$804</definedName>
    <definedName name="z_86R6WP0138_MO_BS_Accumulatedothercomprehensiveloss">Model!$659:$659</definedName>
    <definedName name="z_86R6WP0138_MO_BS_Assets">Model!$625:$625</definedName>
    <definedName name="z_86R6WP0138_MO_BS_BSCheck">Model!$665:$665</definedName>
    <definedName name="z_86R6WP0138_MO_BS_Cash">Model!$632:$632</definedName>
    <definedName name="z_86R6WP0138_MO_BS_Cededunearnedpremiums">Model!$636:$636</definedName>
    <definedName name="z_86R6WP0138_MO_BS_Claimsandclaimadjustmentexpensereserves">Model!$646:$646</definedName>
    <definedName name="z_86R6WP0138_MO_BS_Commonstock">Model!$657:$657</definedName>
    <definedName name="z_86R6WP0138_MO_BS_Contractholderpayables">Model!$648:$648</definedName>
    <definedName name="z_86R6WP0138_MO_BS_Contractholderreceivables">Model!$639:$639</definedName>
    <definedName name="z_86R6WP0138_MO_BS_Debt">Model!$651:$651</definedName>
    <definedName name="z_86R6WP0138_MO_BS_Deferredacquisitioncosts">Model!$637:$637</definedName>
    <definedName name="z_86R6WP0138_MO_BS_Deferredtaxes">Model!$638:$638</definedName>
    <definedName name="z_86R6WP0138_MO_BS_Deferredtaxes_1">Model!$650:$650</definedName>
    <definedName name="z_86R6WP0138_MO_BS_Equitysecuritiesavailableforsale">Model!$627:$627</definedName>
    <definedName name="z_86R6WP0138_MO_BS_Fixedmaturitiesavailableforsale">Model!$626:$626</definedName>
    <definedName name="z_86R6WP0138_MO_BS_Goodwill">Model!$640:$640</definedName>
    <definedName name="z_86R6WP0138_MO_BS_Investmentincomeaccrued">Model!$633:$633</definedName>
    <definedName name="z_86R6WP0138_MO_BS_Liabilities">Model!$645:$645</definedName>
    <definedName name="z_86R6WP0138_MO_BS_NCI">Model!$662:$662</definedName>
    <definedName name="z_86R6WP0138_MO_BS_Otherassets">Model!$642:$642</definedName>
    <definedName name="z_86R6WP0138_MO_BS_Otherintangibleassets">Model!$641:$641</definedName>
    <definedName name="z_86R6WP0138_MO_BS_Otherinvestments">Model!$630:$630</definedName>
    <definedName name="z_86R6WP0138_MO_BS_Otherliabilities">Model!$652:$652</definedName>
    <definedName name="z_86R6WP0138_MO_BS_Payablesforreinsurancepremiums">Model!$649:$649</definedName>
    <definedName name="z_86R6WP0138_MO_BS_PreferredStockSavingsPlanconvertiblepreferredstock">Model!$656:$656</definedName>
    <definedName name="z_86R6WP0138_MO_BS_Premiumsreceivable">Model!$634:$634</definedName>
    <definedName name="z_86R6WP0138_MO_BS_Realestateinvestments">Model!$628:$628</definedName>
    <definedName name="z_86R6WP0138_MO_BS_Reinsurancerecoverables">Model!$635:$635</definedName>
    <definedName name="z_86R6WP0138_MO_BS_Retainedearnings">Model!$658:$658</definedName>
    <definedName name="z_86R6WP0138_MO_BS_ShareholdersEquity">Model!$655:$655</definedName>
    <definedName name="z_86R6WP0138_MO_BS_Shorttermsecurities">Model!$629:$629</definedName>
    <definedName name="z_86R6WP0138_MO_BS_TotalAssets">Model!$643:$643</definedName>
    <definedName name="z_86R6WP0138_MO_BS_Totalinvestments">Model!$631:$631</definedName>
    <definedName name="z_86R6WP0138_MO_BS_TotalLiabilities">Model!$653:$653</definedName>
    <definedName name="z_86R6WP0138_MO_BS_TotalLiabilitiesSE">Model!$663:$663</definedName>
    <definedName name="z_86R6WP0138_MO_BS_TotalSE">Model!$661:$661</definedName>
    <definedName name="z_86R6WP0138_MO_BS_Treasurystock">Model!$660:$660</definedName>
    <definedName name="z_86R6WP0138_MO_BS_Unearnedpremiumreserves">Model!$647:$647</definedName>
    <definedName name="z_86R6WP0138_MO_BSS_AdjustedBookValueperCommonShare">Model!$472:$472</definedName>
    <definedName name="z_86R6WP0138_MO_BSS_BookValueperCommonShare">Model!$470:$470</definedName>
    <definedName name="z_86R6WP0138_MO_BSS_ConsensusEstimatesBookValueperCommonShare">Model!$471:$471</definedName>
    <definedName name="z_86R6WP0138_MO_BSS_ConsensusEstimatesReturnonAverageCommonEquity">Model!$477:$477</definedName>
    <definedName name="z_86R6WP0138_MO_BSS_Goodwill">Model!$465:$465</definedName>
    <definedName name="z_86R6WP0138_MO_BSS_Lessgoodwillandotherintangibleassets">Model!$467:$467</definedName>
    <definedName name="z_86R6WP0138_MO_BSS_Lessnetunrealizedinvestmentgainsnetoftax">Model!$463:$463</definedName>
    <definedName name="z_86R6WP0138_MO_BSS_NetLossReserves">Model!$454:$454</definedName>
    <definedName name="z_86R6WP0138_MO_BSS_NetTechnicalReserves">Model!$455:$455</definedName>
    <definedName name="z_86R6WP0138_MO_BSS_NetUnearnedPremiumReserves">Model!$453:$453</definedName>
    <definedName name="z_86R6WP0138_MO_BSS_Otherintangibleassets">Model!$466:$466</definedName>
    <definedName name="z_86R6WP0138_MO_BSS_PreferredShares">Model!$461:$461</definedName>
    <definedName name="z_86R6WP0138_MO_BSS_ReserveRatio">Model!$457:$457</definedName>
    <definedName name="z_86R6WP0138_MO_BSS_ReturnonAverageAdjustedCommonEquity">Model!$478:$478</definedName>
    <definedName name="z_86R6WP0138_MO_BSS_ReturnonAverageCommonEquity">Model!$476:$476</definedName>
    <definedName name="z_86R6WP0138_MO_BSS_ReturnonAverageTangibleCommonEquity">Model!$479:$479</definedName>
    <definedName name="z_86R6WP0138_MO_BSS_ReturnonAverageTotalAssets">Model!$475:$475</definedName>
    <definedName name="z_86R6WP0138_MO_BSS_SolvencyRatio">Model!$458:$458</definedName>
    <definedName name="z_86R6WP0138_MO_BSS_Statutorycapitalandsurplus">Model!$498:$498</definedName>
    <definedName name="z_86R6WP0138_MO_BSS_Statutorynetincome">Model!$499:$499</definedName>
    <definedName name="z_86R6WP0138_MO_BSS_TangibleBookValueperCommonShare">Model!$473:$473</definedName>
    <definedName name="z_86R6WP0138_MO_BSS_TotalAdjustedCommonEquity">Model!$464:$464</definedName>
    <definedName name="z_86R6WP0138_MO_BSS_TotalCommonShareholdersEquity">Model!$462:$462</definedName>
    <definedName name="z_86R6WP0138_MO_BSS_TotalEquity">Model!$460:$460</definedName>
    <definedName name="z_86R6WP0138_MO_BSS_TotalTangibleCommonEquity">Model!$468:$468</definedName>
    <definedName name="z_86R6WP0138_MO_CCFS_Acquisitions">Model!$546:$546</definedName>
    <definedName name="z_86R6WP0138_MO_CCFS_Amortizationofdeferredacquisitioncosts">Model!$522:$522</definedName>
    <definedName name="z_86R6WP0138_MO_CCFS_BeginningCashBalance">Model!$563:$563</definedName>
    <definedName name="z_86R6WP0138_MO_CCFS_Cashpaidforincometaxes">Model!$567:$567</definedName>
    <definedName name="z_86R6WP0138_MO_CCFS_Cashpaidforinterest">Model!$566:$566</definedName>
    <definedName name="z_86R6WP0138_MO_CCFS_Cededunearnedpremiums">Model!$530:$530</definedName>
    <definedName name="z_86R6WP0138_MO_CCFS_CFF">Model!$550:$550</definedName>
    <definedName name="z_86R6WP0138_MO_CCFS_CFI">Model!$534:$534</definedName>
    <definedName name="z_86R6WP0138_MO_CCFS_CFO">Model!$517:$517</definedName>
    <definedName name="z_86R6WP0138_MO_CCFS_CFObeforeWC">Model!$524:$524</definedName>
    <definedName name="z_86R6WP0138_MO_CCFS_Claimsandclaimadjustmentexpensereserves">Model!$528:$528</definedName>
    <definedName name="z_86R6WP0138_MO_CCFS_Deferredacquisitioncosts">Model!$527:$527</definedName>
    <definedName name="z_86R6WP0138_MO_CCFS_Deferredfederalincometaxexpense">Model!$521:$521</definedName>
    <definedName name="z_86R6WP0138_MO_CCFS_Depreciationandamortization">Model!$520:$520</definedName>
    <definedName name="z_86R6WP0138_MO_CCFS_Dividendspaidtoshareholders">Model!$553:$553</definedName>
    <definedName name="z_86R6WP0138_MO_CCFS_EndingCashBalance">Model!$564:$564</definedName>
    <definedName name="z_86R6WP0138_MO_CCFS_Equityinincomefromotherinvestments">Model!$523:$523</definedName>
    <definedName name="z_86R6WP0138_MO_CCFS_Excesstaxbenefitsfromsharebasedpaymentarrangements">Model!$557:$557</definedName>
    <definedName name="z_86R6WP0138_MO_CCFS_FX">Model!$560:$560</definedName>
    <definedName name="z_86R6WP0138_MO_CCFS_Issuanceofcommonstockemployeeshareoptions">Model!$556:$556</definedName>
    <definedName name="z_86R6WP0138_MO_CCFS_Issuanceofdebt">Model!$555:$555</definedName>
    <definedName name="z_86R6WP0138_MO_CCFS_NetCFF">Model!$558:$558</definedName>
    <definedName name="z_86R6WP0138_MO_CCFS_NetCFI">Model!$548:$548</definedName>
    <definedName name="z_86R6WP0138_MO_CCFS_NetCFO">Model!$532:$532</definedName>
    <definedName name="z_86R6WP0138_MO_CCFS_NetChangeinCashBalance">Model!$561:$561</definedName>
    <definedName name="z_86R6WP0138_MO_CCFS_Netincome">Model!$518:$518</definedName>
    <definedName name="z_86R6WP0138_MO_CCFS_Netpurchasesofshorttermsecurities">Model!$544:$544</definedName>
    <definedName name="z_86R6WP0138_MO_CCFS_Netrealizedinvestmentgains">Model!$519:$519</definedName>
    <definedName name="z_86R6WP0138_MO_CCFS_Other">Model!$531:$531</definedName>
    <definedName name="z_86R6WP0138_MO_CCFS_Other_1">Model!$547:$547</definedName>
    <definedName name="z_86R6WP0138_MO_CCFS_Paymentofdebt">Model!$554:$554</definedName>
    <definedName name="z_86R6WP0138_MO_CCFS_Premiumsreceivable">Model!$525:$525</definedName>
    <definedName name="z_86R6WP0138_MO_CCFS_Proceedsfrommaturitiesoffixedmaturities">Model!$535:$535</definedName>
    <definedName name="z_86R6WP0138_MO_CCFS_Purchasesofequitysecurities">Model!$541:$541</definedName>
    <definedName name="z_86R6WP0138_MO_CCFS_Purchasesoffixedmaturities">Model!$540:$540</definedName>
    <definedName name="z_86R6WP0138_MO_CCFS_Purchasesofotherinvestments">Model!$543:$543</definedName>
    <definedName name="z_86R6WP0138_MO_CCFS_Purchasesofrealestateinvestments">Model!$542:$542</definedName>
    <definedName name="z_86R6WP0138_MO_CCFS_Reinsurancerecoverables">Model!$526:$526</definedName>
    <definedName name="z_86R6WP0138_MO_CCFS_Salesofequitysecurities">Model!$537:$537</definedName>
    <definedName name="z_86R6WP0138_MO_CCFS_Salesoffixedmaturities">Model!$536:$536</definedName>
    <definedName name="z_86R6WP0138_MO_CCFS_Salesofotherinvestments">Model!$539:$539</definedName>
    <definedName name="z_86R6WP0138_MO_CCFS_Salesofrealestateinvestments">Model!$538:$538</definedName>
    <definedName name="z_86R6WP0138_MO_CCFS_Securitiestransactionsincourseofsettlement">Model!$545:$545</definedName>
    <definedName name="z_86R6WP0138_MO_CCFS_Treasurystockacquirednetemployeesharebasedcompensation">Model!$552:$552</definedName>
    <definedName name="z_86R6WP0138_MO_CCFS_Treasurystockacquiredsharerepurchaseauthorization">Model!$551:$551</definedName>
    <definedName name="z_86R6WP0138_MO_CCFS_Unearnedpremiumreserves">Model!$529:$529</definedName>
    <definedName name="z_86R6WP0138_MO_CFS_Acquisitions">Model!$599:$599</definedName>
    <definedName name="z_86R6WP0138_MO_CFS_Amortizationofdeferredacquisitioncosts">Model!$575:$575</definedName>
    <definedName name="z_86R6WP0138_MO_CFS_BeginningCashBalance">Model!$616:$616</definedName>
    <definedName name="z_86R6WP0138_MO_CFS_Cashpaidforincometaxes">Model!$620:$620</definedName>
    <definedName name="z_86R6WP0138_MO_CFS_Cashpaidforinterest">Model!$619:$619</definedName>
    <definedName name="z_86R6WP0138_MO_CFS_Cededunearnedpremiums">Model!$583:$583</definedName>
    <definedName name="z_86R6WP0138_MO_CFS_CFCheck">Model!$622:$622</definedName>
    <definedName name="z_86R6WP0138_MO_CFS_CFF">Model!$603:$603</definedName>
    <definedName name="z_86R6WP0138_MO_CFS_CFI">Model!$587:$587</definedName>
    <definedName name="z_86R6WP0138_MO_CFS_CFO">Model!$570:$570</definedName>
    <definedName name="z_86R6WP0138_MO_CFS_CFObeforeWC">Model!$577:$577</definedName>
    <definedName name="z_86R6WP0138_MO_CFS_Claimsandclaimadjustmentexpensereserves">Model!$581:$581</definedName>
    <definedName name="z_86R6WP0138_MO_CFS_Deferredacquisitioncosts">Model!$580:$580</definedName>
    <definedName name="z_86R6WP0138_MO_CFS_Deferredfederalincometaxexpense">Model!$574:$574</definedName>
    <definedName name="z_86R6WP0138_MO_CFS_Depreciationandamortization">Model!$573:$573</definedName>
    <definedName name="z_86R6WP0138_MO_CFS_Dividendspaidtoshareholders">Model!$606:$606</definedName>
    <definedName name="z_86R6WP0138_MO_CFS_EndingCashBalance">Model!$617:$617</definedName>
    <definedName name="z_86R6WP0138_MO_CFS_Equityinincomefromotherinvestments">Model!$576:$576</definedName>
    <definedName name="z_86R6WP0138_MO_CFS_Excesstaxbenefitsfromsharebasedpaymentarrangements">Model!$610:$610</definedName>
    <definedName name="z_86R6WP0138_MO_CFS_FX">Model!$613:$613</definedName>
    <definedName name="z_86R6WP0138_MO_CFS_Issuanceofcommonstockemployeeshareoptions">Model!$609:$609</definedName>
    <definedName name="z_86R6WP0138_MO_CFS_Issuanceofdebt">Model!$608:$608</definedName>
    <definedName name="z_86R6WP0138_MO_CFS_NetCFF">Model!$611:$611</definedName>
    <definedName name="z_86R6WP0138_MO_CFS_NetCFI">Model!$601:$601</definedName>
    <definedName name="z_86R6WP0138_MO_CFS_NetCFO">Model!$585:$585</definedName>
    <definedName name="z_86R6WP0138_MO_CFS_NetChangeinCashBalance">Model!$614:$614</definedName>
    <definedName name="z_86R6WP0138_MO_CFS_Netincome">Model!$571:$571</definedName>
    <definedName name="z_86R6WP0138_MO_CFS_Netpurchasesofshorttermsecurities">Model!$597:$597</definedName>
    <definedName name="z_86R6WP0138_MO_CFS_Netrealizedinvestmentgains">Model!$572:$572</definedName>
    <definedName name="z_86R6WP0138_MO_CFS_Other">Model!$584:$584</definedName>
    <definedName name="z_86R6WP0138_MO_CFS_Other_1">Model!$600:$600</definedName>
    <definedName name="z_86R6WP0138_MO_CFS_Paymentofdebt">Model!$607:$607</definedName>
    <definedName name="z_86R6WP0138_MO_CFS_Premiumsreceivable">Model!$578:$578</definedName>
    <definedName name="z_86R6WP0138_MO_CFS_Proceedsfrommaturitiesoffixedmaturities">Model!$588:$588</definedName>
    <definedName name="z_86R6WP0138_MO_CFS_Purchasesofequitysecurities">Model!$594:$594</definedName>
    <definedName name="z_86R6WP0138_MO_CFS_Purchasesoffixedmaturities">Model!$593:$593</definedName>
    <definedName name="z_86R6WP0138_MO_CFS_Purchasesofotherinvestments">Model!$596:$596</definedName>
    <definedName name="z_86R6WP0138_MO_CFS_Purchasesofrealestateinvestments">Model!$595:$595</definedName>
    <definedName name="z_86R6WP0138_MO_CFS_Reinsurancerecoverables">Model!$579:$579</definedName>
    <definedName name="z_86R6WP0138_MO_CFS_Salesofequitysecurities">Model!$590:$590</definedName>
    <definedName name="z_86R6WP0138_MO_CFS_Salesoffixedmaturities">Model!$589:$589</definedName>
    <definedName name="z_86R6WP0138_MO_CFS_Salesofotherinvestments">Model!$592:$592</definedName>
    <definedName name="z_86R6WP0138_MO_CFS_Salesofrealestateinvestments">Model!$591:$591</definedName>
    <definedName name="z_86R6WP0138_MO_CFS_Securitiestransactionsincourseofsettlement">Model!$598:$598</definedName>
    <definedName name="z_86R6WP0138_MO_CFS_Treasurystockacquirednetemployeesharebasedcompensation">Model!$605:$605</definedName>
    <definedName name="z_86R6WP0138_MO_CFS_Treasurystockacquiredsharerepurchaseauthorization">Model!$604:$604</definedName>
    <definedName name="z_86R6WP0138_MO_CFS_Unearnedpremiumreserves">Model!$582:$582</definedName>
    <definedName name="z_86R6WP0138_MO_Checks_SNA_BalanceSheetisnotRepeated">Model!$686:$686</definedName>
    <definedName name="z_86R6WP0138_MO_Checks_SNA_CashBalancePositive">Model!$683:$683</definedName>
    <definedName name="z_86R6WP0138_MO_Checks_SNA_CashFlowisnotRepeated">Model!$684:$684</definedName>
    <definedName name="z_86R6WP0138_MO_Checks_SNA_CFFsubtotalFYSumofQs">Model!$693:$693</definedName>
    <definedName name="z_86R6WP0138_MO_Checks_SNA_CFIsubtotalFYSumofQs">Model!$692:$692</definedName>
    <definedName name="z_86R6WP0138_MO_Checks_SNA_CFOBeforeWCsubtotalFYSumofQs">Model!$690:$690</definedName>
    <definedName name="z_86R6WP0138_MO_Checks_SNA_CFOsubtotalFYSumofQs">Model!$691:$691</definedName>
    <definedName name="z_86R6WP0138_MO_Checks_SNA_CUPCUPinBS">Model!$679:$679</definedName>
    <definedName name="z_86R6WP0138_MO_Checks_SNA_DACVOBADACVOBAinBS">Model!$677:$677</definedName>
    <definedName name="z_86R6WP0138_MO_Checks_SNA_EndingCFEndingCumulativeCF">Model!$687:$687</definedName>
    <definedName name="z_86R6WP0138_MO_Checks_SNA_GLRGLRinBS">Model!$680:$680</definedName>
    <definedName name="z_86R6WP0138_MO_Checks_SNA_GUPRGUPRinBS">Model!$678:$678</definedName>
    <definedName name="z_86R6WP0138_MO_Checks_SNA_IncomeStatementisnotRepeated">Model!$685:$685</definedName>
    <definedName name="z_86R6WP0138_MO_Checks_SNA_LossLAELossLAEinRIS">Model!$671:$671</definedName>
    <definedName name="z_86R6WP0138_MO_Checks_SNA_NEPNEPinRIS">Model!$670:$670</definedName>
    <definedName name="z_86R6WP0138_MO_Checks_SNA_NetIncomeonReportedISNIonRevised">Model!$669:$669</definedName>
    <definedName name="z_86R6WP0138_MO_Checks_SNA_NetIncomeonRevisedISNIonCFstatement">Model!$668:$668</definedName>
    <definedName name="z_86R6WP0138_MO_Checks_SNA_NetInvestmentGainNetInvestmentGaininRIS">Model!$675:$675</definedName>
    <definedName name="z_86R6WP0138_MO_Checks_SNA_NetInvestmentIncomeNetInvestmentIncomeinRIS">Model!$674:$674</definedName>
    <definedName name="z_86R6WP0138_MO_Checks_SNA_NetTechnicalReserveNUPRNLR">Model!$682:$682</definedName>
    <definedName name="z_86R6WP0138_MO_Checks_SNA_OtherOperatingExpenseOtherOperatingExpenseinRIS">Model!$673:$673</definedName>
    <definedName name="z_86R6WP0138_MO_Checks_SNA_PolicyAcquisitionExpensePAEinRIS">Model!$672:$672</definedName>
    <definedName name="z_86R6WP0138_MO_Checks_SNA_RISAdjustedNIFYSumofQs">Model!$689:$689</definedName>
    <definedName name="z_86R6WP0138_MO_Checks_SNA_RISNIFYSumofQs">Model!$688:$688</definedName>
    <definedName name="z_86R6WP0138_MO_Checks_SNA_RRRRinBS">Model!$681:$681</definedName>
    <definedName name="z_86R6WP0138_MO_Checks_SNA_UnderwritingExpenseTotalExpense">Model!$676:$676</definedName>
    <definedName name="z_86R6WP0138_MO_DS_DividendPerCommonShare">Model!$448:$448</definedName>
    <definedName name="z_86R6WP0138_MO_DS_DividendsPaidtoCommonShareholders">Model!$447:$447</definedName>
    <definedName name="z_86R6WP0138_MO_DS_PayoutRatio">Model!$450:$450</definedName>
    <definedName name="z_86R6WP0138_MO_Header_ColumnHeader">Model!$5:$5</definedName>
    <definedName name="z_86R6WP0138_MO_Header_CompanySubTitle">Model!$2:$2</definedName>
    <definedName name="z_86R6WP0138_MO_Header_CompanyTitle">Model!$1:$1</definedName>
    <definedName name="z_86R6WP0138_MO_Header_FPDays">Model!$3:$3</definedName>
    <definedName name="z_86R6WP0138_MO_Header_QEndDate">Model!$4:$4</definedName>
    <definedName name="z_86R6WP0138_MO_IS_Amortizationofdeferredacquisitioncosts">Model!$350:$350</definedName>
    <definedName name="z_86R6WP0138_MO_IS_Claimsandclaimadjustmentexpenses">Model!$349:$349</definedName>
    <definedName name="z_86R6WP0138_MO_IS_Convertiblepreferredstock">Model!$365:$365</definedName>
    <definedName name="z_86R6WP0138_MO_IS_CoreIncomeperShareBasic">Model!$380:$380</definedName>
    <definedName name="z_86R6WP0138_MO_IS_CoreIncomeperShareDiluted">Model!$386:$386</definedName>
    <definedName name="z_86R6WP0138_MO_IS_Feeincome">Model!$345:$345</definedName>
    <definedName name="z_86R6WP0138_MO_IS_Generalandadministrativeexpenses">Model!$351:$351</definedName>
    <definedName name="z_86R6WP0138_MO_IS_ImpactofTCJAatenactment">Model!$379:$379</definedName>
    <definedName name="z_86R6WP0138_MO_IS_ImpactofTCJAatenactment_1">Model!$385:$385</definedName>
    <definedName name="z_86R6WP0138_MO_IS_Incomebeforeincometaxes">Model!$354:$354</definedName>
    <definedName name="z_86R6WP0138_MO_IS_Incometaxexpense">Model!$355:$355</definedName>
    <definedName name="z_86R6WP0138_MO_IS_Interestexpense">Model!$352:$352</definedName>
    <definedName name="z_86R6WP0138_MO_IS_ISCheck">Model!$358:$358</definedName>
    <definedName name="z_86R6WP0138_MO_IS_NetIncome">Model!$356:$356</definedName>
    <definedName name="z_86R6WP0138_MO_IS_NetIncome_1">Model!$361:$361</definedName>
    <definedName name="z_86R6WP0138_MO_IS_NetIncomeAvailabletoCommonShareholders">Model!$364:$364</definedName>
    <definedName name="z_86R6WP0138_MO_IS_NetIncomeAvailabletoCommonShareholdersDiluted">Model!$368:$368</definedName>
    <definedName name="z_86R6WP0138_MO_IS_NetIncomeperShareBasic">Model!$376:$376</definedName>
    <definedName name="z_86R6WP0138_MO_IS_NetIncomeperShareDiluted">Model!$382:$382</definedName>
    <definedName name="z_86R6WP0138_MO_IS_Netinvestmentincome">Model!$344:$344</definedName>
    <definedName name="z_86R6WP0138_MO_IS_Netrealizedinvestmentgains">Model!$346:$346</definedName>
    <definedName name="z_86R6WP0138_MO_IS_Netrealizedinvestmentgains_1">Model!$377:$377</definedName>
    <definedName name="z_86R6WP0138_MO_IS_Netrealizedinvestmentgains_2">Model!$383:$383</definedName>
    <definedName name="z_86R6WP0138_MO_IS_Otherrevenues">Model!$347:$347</definedName>
    <definedName name="z_86R6WP0138_MO_IS_Participatingsharebasedawardsallocatedincome">Model!$363:$363</definedName>
    <definedName name="z_86R6WP0138_MO_IS_Participatingsharebasedawardsreallocatedincome">Model!$366:$366</definedName>
    <definedName name="z_86R6WP0138_MO_IS_Preferredstockdividends">Model!$362:$362</definedName>
    <definedName name="z_86R6WP0138_MO_IS_Premiums">Model!$343:$343</definedName>
    <definedName name="z_86R6WP0138_MO_IS_Totalclaimsandexpenses">Model!$353:$353</definedName>
    <definedName name="z_86R6WP0138_MO_IS_Totalrevenues">Model!$348:$348</definedName>
    <definedName name="z_86R6WP0138_MO_IS_Zerocouponconvertiblenotes">Model!$367:$367</definedName>
    <definedName name="z_86R6WP0138_MO_MA_AverageFXRate">Model!$512:$512</definedName>
    <definedName name="z_86R6WP0138_MO_MA_EoPFXRate">Model!$513:$513</definedName>
    <definedName name="z_86R6WP0138_MO_MA_StockEoP">Model!$511:$511</definedName>
    <definedName name="z_86R6WP0138_MO_MA_StockPriceTradingCurAvg">Model!$514:$514</definedName>
    <definedName name="z_86R6WP0138_MO_OS_BondSpecialtyInsuranceAmortizationofdeferredacquisitioncosts">Model!$238:$238</definedName>
    <definedName name="z_86R6WP0138_MO_OS_BondSpecialtyInsuranceCatastrophesnetofreinsurance">Model!$255:$255</definedName>
    <definedName name="z_86R6WP0138_MO_OS_BondSpecialtyInsuranceCatastrophesnetofreinsurance_1">Model!$48:$48</definedName>
    <definedName name="z_86R6WP0138_MO_OS_BondSpecialtyInsuranceCatastrophesnetofreinsurance_2">Model!$98:$98</definedName>
    <definedName name="z_86R6WP0138_MO_OS_BondSpecialtyInsurancecededearnedpremiums">Model!$33:$33</definedName>
    <definedName name="z_86R6WP0138_MO_OS_BondSpecialtyInsurancecededwrittenpremiums">Model!$20:$20</definedName>
    <definedName name="z_86R6WP0138_MO_OS_BondSpecialtyInsuranceClaimsandclaimadjustmentexpenses">Model!$237:$237</definedName>
    <definedName name="z_86R6WP0138_MO_OS_BondSpecialtyInsurancecombinedratio">Model!$120:$120</definedName>
    <definedName name="z_86R6WP0138_MO_OS_BondSpecialtyInsuranceCombinedratio_3">Model!$252:$252</definedName>
    <definedName name="z_86R6WP0138_MO_OS_BondSpecialtyInsurancecombinedunderwritingexpenses">Model!$70:$70</definedName>
    <definedName name="z_86R6WP0138_MO_OS_BondSpecialtyInsuranceFeeincome">Model!$234:$234</definedName>
    <definedName name="z_86R6WP0138_MO_OS_BondSpecialtyInsuranceFidelitysurety">Model!$275:$275</definedName>
    <definedName name="z_86R6WP0138_MO_OS_BondSpecialtyInsuranceGeneralandadministrativeexpenses">Model!$239:$239</definedName>
    <definedName name="z_86R6WP0138_MO_OS_BondSpecialtyInsuranceGeneralliability">Model!$276:$276</definedName>
    <definedName name="z_86R6WP0138_MO_OS_BondSpecialtyInsurancegrossearnedpremiums">Model!$29:$29</definedName>
    <definedName name="z_86R6WP0138_MO_OS_BondSpecialtyInsurancegrosswrittenpremiums">Model!$16:$16</definedName>
    <definedName name="z_86R6WP0138_MO_OS_BondSpecialtyInsuranceGrosswrittenpremiums_2">Model!$259:$259</definedName>
    <definedName name="z_86R6WP0138_MO_OS_BondSpecialtyInsurancegrosswrittenpremiumsgrowth">Model!$8:$8</definedName>
    <definedName name="z_86R6WP0138_MO_OS_BondSpecialtyInsuranceIncometaxexpensebenefit">Model!$242:$242</definedName>
    <definedName name="z_86R6WP0138_MO_OS_BondSpecialtyInsuranceInternational">Model!$272:$272</definedName>
    <definedName name="z_86R6WP0138_MO_OS_BondSpecialtyInsuranceInternational_1">Model!$279:$279</definedName>
    <definedName name="z_86R6WP0138_MO_OS_BondSpecialtyInsurancelossandLAE">Model!$49:$49</definedName>
    <definedName name="z_86R6WP0138_MO_OS_BondSpecialtyInsurancelossandLAEratio">Model!$99:$99</definedName>
    <definedName name="z_86R6WP0138_MO_OS_BondSpecialtyInsuranceLossandLAEratio_3">Model!$250:$250</definedName>
    <definedName name="z_86R6WP0138_MO_OS_BondSpecialtyInsurancelossandLAEratioexclPYDCAT">Model!$46:$46</definedName>
    <definedName name="z_86R6WP0138_MO_OS_BondSpecialtyInsurancelossandLAEratioexclPYDCAT_1">Model!$96:$96</definedName>
    <definedName name="z_86R6WP0138_MO_OS_BondSpecialtyInsuranceLossesandLAE">Model!$262:$262</definedName>
    <definedName name="z_86R6WP0138_MO_OS_BondSpecialtyInsuranceManagementLiability">Model!$269:$269</definedName>
    <definedName name="z_86R6WP0138_MO_OS_BondSpecialtyInsurancenetearnedpremiums">Model!$37:$37</definedName>
    <definedName name="z_86R6WP0138_MO_OS_BondSpecialtyInsuranceNetearnedpremiums_1">Model!$261:$261</definedName>
    <definedName name="z_86R6WP0138_MO_OS_BondSpecialtyInsuranceNetfavourableunfavourableprioryearreservedevelopment">Model!$254:$254</definedName>
    <definedName name="z_86R6WP0138_MO_OS_BondSpecialtyInsuranceNetfavourableunfavourableprioryearreservedevelopment_1">Model!$47:$47</definedName>
    <definedName name="z_86R6WP0138_MO_OS_BondSpecialtyInsuranceNetfavourableunfavourableprioryearreservedevelopment_2">Model!$97:$97</definedName>
    <definedName name="z_86R6WP0138_MO_OS_BondSpecialtyInsuranceNetinvestmentincome">Model!$233:$233</definedName>
    <definedName name="z_86R6WP0138_MO_OS_BondSpecialtyInsuranceNetinvestmentincomeaftertax">Model!$246:$246</definedName>
    <definedName name="z_86R6WP0138_MO_OS_BondSpecialtyInsurancenetretentionratio">Model!$83:$83</definedName>
    <definedName name="z_86R6WP0138_MO_OS_BondSpecialtyInsurancenetwrittenpremiums">Model!$24:$24</definedName>
    <definedName name="z_86R6WP0138_MO_OS_BondSpecialtyInsuranceNetwrittenpremiums_1">Model!$260:$260</definedName>
    <definedName name="z_86R6WP0138_MO_OS_BondSpecialtyInsuranceOther_4">Model!$277:$277</definedName>
    <definedName name="z_86R6WP0138_MO_OS_BondSpecialtyInsuranceOtherincomeexpense">Model!$247:$247</definedName>
    <definedName name="z_86R6WP0138_MO_OS_BondSpecialtyInsuranceotheroperatingexpenses">Model!$65:$65</definedName>
    <definedName name="z_86R6WP0138_MO_OS_BondSpecialtyInsuranceotheroperatingexpensesratio">Model!$115:$115</definedName>
    <definedName name="z_86R6WP0138_MO_OS_BondSpecialtyInsuranceOtherrevenues">Model!$235:$235</definedName>
    <definedName name="z_86R6WP0138_MO_OS_BondSpecialtyInsurancepercentageofwrittenpremiumsearned">Model!$88:$88</definedName>
    <definedName name="z_86R6WP0138_MO_OS_BondSpecialtyInsurancepolicyacquisitionexpenseratio">Model!$110:$110</definedName>
    <definedName name="z_86R6WP0138_MO_OS_BondSpecialtyInsurancepolicyacquisitionexpenses">Model!$60:$60</definedName>
    <definedName name="z_86R6WP0138_MO_OS_BondSpecialtyInsurancePolicyholderdividends">Model!$265:$265</definedName>
    <definedName name="z_86R6WP0138_MO_OS_BondSpecialtyInsurancePremiums">Model!$232:$232</definedName>
    <definedName name="z_86R6WP0138_MO_OS_BondSpecialtyInsuranceSegmentincome_1">Model!$243:$243</definedName>
    <definedName name="z_86R6WP0138_MO_OS_BondSpecialtyInsuranceSegmentincome_2">Model!$248:$248</definedName>
    <definedName name="z_86R6WP0138_MO_OS_BondSpecialtyInsuranceSegmentincomebeforeincometaxes">Model!$241:$241</definedName>
    <definedName name="z_86R6WP0138_MO_OS_BondSpecialtyInsuranceStatutoryunderwritinggainloss">Model!$264:$264</definedName>
    <definedName name="z_86R6WP0138_MO_OS_BondSpecialtyInsuranceStatutoryunderwritinggainlossafterpolicyholderdividends">Model!$266:$266</definedName>
    <definedName name="z_86R6WP0138_MO_OS_BondSpecialtyInsuranceSurety">Model!$270:$270</definedName>
    <definedName name="z_86R6WP0138_MO_OS_BondSpecialtyInsuranceTotalclaimsandexpenses">Model!$240:$240</definedName>
    <definedName name="z_86R6WP0138_MO_OS_BondSpecialtyInsuranceTotalDomestic">Model!$271:$271</definedName>
    <definedName name="z_86R6WP0138_MO_OS_BondSpecialtyInsuranceTotalDomestic_1">Model!$278:$278</definedName>
    <definedName name="z_86R6WP0138_MO_OS_BondSpecialtyInsuranceTotalNetWrittenPremiums">Model!$273:$273</definedName>
    <definedName name="z_86R6WP0138_MO_OS_BondSpecialtyInsuranceTotalNetWrittenPremiums_1">Model!$280:$280</definedName>
    <definedName name="z_86R6WP0138_MO_OS_BondSpecialtyInsuranceTotalrevenues">Model!$236:$236</definedName>
    <definedName name="z_86R6WP0138_MO_OS_BondSpecialtyInsuranceUnderlyingcombinedratio">Model!$256:$256</definedName>
    <definedName name="z_86R6WP0138_MO_OS_BondSpecialtyInsuranceUnderwritingexpenseratio">Model!$251:$251</definedName>
    <definedName name="z_86R6WP0138_MO_OS_BondSpecialtyInsuranceUnderwritingexpenses">Model!$263:$263</definedName>
    <definedName name="z_86R6WP0138_MO_OS_BondSpecialtyInsuranceUnderwritinggainloss">Model!$245:$245</definedName>
    <definedName name="z_86R6WP0138_MO_OS_BondSpecialtyInsuranceunderwritingincome">Model!$75:$75</definedName>
    <definedName name="z_86R6WP0138_MO_OS_BusinessInsuranceAmortizationofdeferredacquisitioncosts">Model!$180:$180</definedName>
    <definedName name="z_86R6WP0138_MO_OS_BusinessInsuranceCatastrophesnetofreinsurance">Model!$197:$197</definedName>
    <definedName name="z_86R6WP0138_MO_OS_BusinessInsuranceCatastrophesnetofreinsurance_1">Model!$44:$44</definedName>
    <definedName name="z_86R6WP0138_MO_OS_BusinessInsuranceCatastrophesnetofreinsurance_2">Model!$94:$94</definedName>
    <definedName name="z_86R6WP0138_MO_OS_BusinessInsurancecededearnedpremiums">Model!$32:$32</definedName>
    <definedName name="z_86R6WP0138_MO_OS_BusinessInsurancecededwrittenpremiums">Model!$19:$19</definedName>
    <definedName name="z_86R6WP0138_MO_OS_BusinessInsuranceClaimsandclaimadjustmentexpenses">Model!$179:$179</definedName>
    <definedName name="z_86R6WP0138_MO_OS_BusinessInsurancecombinedratio">Model!$119:$119</definedName>
    <definedName name="z_86R6WP0138_MO_OS_BusinessInsuranceCombinedratio_3">Model!$194:$194</definedName>
    <definedName name="z_86R6WP0138_MO_OS_BusinessInsurancecombinedunderwritingexpenses">Model!$69:$69</definedName>
    <definedName name="z_86R6WP0138_MO_OS_BusinessInsuranceCommercialautomobile">Model!$222:$222</definedName>
    <definedName name="z_86R6WP0138_MO_OS_BusinessInsuranceCommercialmultiperil">Model!$225:$225</definedName>
    <definedName name="z_86R6WP0138_MO_OS_BusinessInsuranceCommercialproperty">Model!$223:$223</definedName>
    <definedName name="z_86R6WP0138_MO_OS_BusinessInsuranceFeeincome">Model!$176:$176</definedName>
    <definedName name="z_86R6WP0138_MO_OS_BusinessInsuranceFirstParty">Model!$214:$214</definedName>
    <definedName name="z_86R6WP0138_MO_OS_BusinessInsuranceGeneralandadministrativeexpenses">Model!$181:$181</definedName>
    <definedName name="z_86R6WP0138_MO_OS_BusinessInsuranceGeneralliability">Model!$224:$224</definedName>
    <definedName name="z_86R6WP0138_MO_OS_BusinessInsurancegrossearnedpremiums">Model!$28:$28</definedName>
    <definedName name="z_86R6WP0138_MO_OS_BusinessInsurancegrosswrittenpremiums">Model!$15:$15</definedName>
    <definedName name="z_86R6WP0138_MO_OS_BusinessInsuranceGrosswrittenpremiums_2">Model!$201:$201</definedName>
    <definedName name="z_86R6WP0138_MO_OS_BusinessInsurancegrosswrittenpremiumsgrowth">Model!$7:$7</definedName>
    <definedName name="z_86R6WP0138_MO_OS_BusinessInsuranceIncometaxexpensebenefit">Model!$184:$184</definedName>
    <definedName name="z_86R6WP0138_MO_OS_BusinessInsuranceInternational">Model!$218:$218</definedName>
    <definedName name="z_86R6WP0138_MO_OS_BusinessInsuranceInternational_1">Model!$228:$228</definedName>
    <definedName name="z_86R6WP0138_MO_OS_BusinessInsurancelossandLAE">Model!$45:$45</definedName>
    <definedName name="z_86R6WP0138_MO_OS_BusinessInsurancelossandLAEratio">Model!$95:$95</definedName>
    <definedName name="z_86R6WP0138_MO_OS_BusinessInsuranceLossandLAEratio_3">Model!$192:$192</definedName>
    <definedName name="z_86R6WP0138_MO_OS_BusinessInsurancelossandLAEratioexclPYDCAT">Model!$42:$42</definedName>
    <definedName name="z_86R6WP0138_MO_OS_BusinessInsurancelossandLAEratioexclPYDCAT_1">Model!$92:$92</definedName>
    <definedName name="z_86R6WP0138_MO_OS_BusinessInsuranceLossesandLAE">Model!$204:$204</definedName>
    <definedName name="z_86R6WP0138_MO_OS_BusinessInsuranceMiddleMarket">Model!$212:$212</definedName>
    <definedName name="z_86R6WP0138_MO_OS_BusinessInsuranceNationalAccounts">Model!$213:$213</definedName>
    <definedName name="z_86R6WP0138_MO_OS_BusinessInsuranceNationalPropertyOther">Model!$216:$216</definedName>
    <definedName name="z_86R6WP0138_MO_OS_BusinessInsurancenetearnedpremiums">Model!$36:$36</definedName>
    <definedName name="z_86R6WP0138_MO_OS_BusinessInsuranceNetearnedpremiums_1">Model!$203:$203</definedName>
    <definedName name="z_86R6WP0138_MO_OS_BusinessInsuranceNetfavourableunfavourableprioryearreservedevelopment">Model!$196:$196</definedName>
    <definedName name="z_86R6WP0138_MO_OS_BusinessInsuranceNetfavourableunfavourableprioryearreservedevelopment_1">Model!$43:$43</definedName>
    <definedName name="z_86R6WP0138_MO_OS_BusinessInsuranceNetfavourableunfavourableprioryearreservedevelopment_2">Model!$93:$93</definedName>
    <definedName name="z_86R6WP0138_MO_OS_BusinessInsuranceNetinvestmentincome">Model!$175:$175</definedName>
    <definedName name="z_86R6WP0138_MO_OS_BusinessInsuranceNetinvestmentincomeaftertax">Model!$188:$188</definedName>
    <definedName name="z_86R6WP0138_MO_OS_BusinessInsurancenetretentionratio">Model!$82:$82</definedName>
    <definedName name="z_86R6WP0138_MO_OS_BusinessInsurancenetwrittenpremiums">Model!$23:$23</definedName>
    <definedName name="z_86R6WP0138_MO_OS_BusinessInsuranceNetwrittenpremiums_1">Model!$202:$202</definedName>
    <definedName name="z_86R6WP0138_MO_OS_BusinessInsuranceOther_4">Model!$226:$226</definedName>
    <definedName name="z_86R6WP0138_MO_OS_BusinessInsuranceOtherincomeexpense">Model!$189:$189</definedName>
    <definedName name="z_86R6WP0138_MO_OS_BusinessInsuranceotheroperatingexpenses">Model!$64:$64</definedName>
    <definedName name="z_86R6WP0138_MO_OS_BusinessInsuranceotheroperatingexpensesratio">Model!$114:$114</definedName>
    <definedName name="z_86R6WP0138_MO_OS_BusinessInsuranceOtherrevenues">Model!$177:$177</definedName>
    <definedName name="z_86R6WP0138_MO_OS_BusinessInsurancepercentageofwrittenpremiumsearned">Model!$87:$87</definedName>
    <definedName name="z_86R6WP0138_MO_OS_BusinessInsurancepolicyacquisitionexpenseratio">Model!$109:$109</definedName>
    <definedName name="z_86R6WP0138_MO_OS_BusinessInsurancepolicyacquisitionexpenses">Model!$59:$59</definedName>
    <definedName name="z_86R6WP0138_MO_OS_BusinessInsurancePolicyholderdividends">Model!$207:$207</definedName>
    <definedName name="z_86R6WP0138_MO_OS_BusinessInsurancePremiums">Model!$174:$174</definedName>
    <definedName name="z_86R6WP0138_MO_OS_BusinessInsuranceSegmentincome_1">Model!$185:$185</definedName>
    <definedName name="z_86R6WP0138_MO_OS_BusinessInsuranceSegmentincome_2">Model!$190:$190</definedName>
    <definedName name="z_86R6WP0138_MO_OS_BusinessInsuranceSegmentincomebeforeincometaxes">Model!$183:$183</definedName>
    <definedName name="z_86R6WP0138_MO_OS_BusinessInsuranceSelectAccounts">Model!$211:$211</definedName>
    <definedName name="z_86R6WP0138_MO_OS_BusinessInsuranceSpecializedDistributions">Model!$215:$215</definedName>
    <definedName name="z_86R6WP0138_MO_OS_BusinessInsuranceStatutoryunderwritinggainloss">Model!$206:$206</definedName>
    <definedName name="z_86R6WP0138_MO_OS_BusinessInsuranceStatutoryunderwritinggainlossafterpolicyholderdividends">Model!$208:$208</definedName>
    <definedName name="z_86R6WP0138_MO_OS_BusinessInsuranceTotalclaimsandexpenses">Model!$182:$182</definedName>
    <definedName name="z_86R6WP0138_MO_OS_BusinessInsuranceTotalDomestic">Model!$217:$217</definedName>
    <definedName name="z_86R6WP0138_MO_OS_BusinessInsuranceTotalDomestic_1">Model!$227:$227</definedName>
    <definedName name="z_86R6WP0138_MO_OS_BusinessInsuranceTotalNetWrittenPremiums">Model!$219:$219</definedName>
    <definedName name="z_86R6WP0138_MO_OS_BusinessInsuranceTotalNetWrittenPremiums_1">Model!$229:$229</definedName>
    <definedName name="z_86R6WP0138_MO_OS_BusinessInsuranceTotalrevenues">Model!$178:$178</definedName>
    <definedName name="z_86R6WP0138_MO_OS_BusinessInsuranceUnderlyingcombinedratio">Model!$198:$198</definedName>
    <definedName name="z_86R6WP0138_MO_OS_BusinessInsuranceUnderwritingexpenseratio">Model!$193:$193</definedName>
    <definedName name="z_86R6WP0138_MO_OS_BusinessInsuranceUnderwritingexpenses">Model!$205:$205</definedName>
    <definedName name="z_86R6WP0138_MO_OS_BusinessInsuranceUnderwritinggainloss">Model!$187:$187</definedName>
    <definedName name="z_86R6WP0138_MO_OS_BusinessInsuranceunderwritingincome">Model!$74:$74</definedName>
    <definedName name="z_86R6WP0138_MO_OS_BusinessInsuranceWorkerscompensation">Model!$221:$221</definedName>
    <definedName name="z_86R6WP0138_MO_OS_Catastrophesnetofreinsurance">Model!$106:$106</definedName>
    <definedName name="z_86R6WP0138_MO_OS_CededUnearnedPremiums">Model!$137:$137</definedName>
    <definedName name="z_86R6WP0138_MO_OS_ChangeinCededUnearnedPremiums">Model!$141:$141</definedName>
    <definedName name="z_86R6WP0138_MO_OS_ChangeinDACandVOBA">Model!$131:$131</definedName>
    <definedName name="z_86R6WP0138_MO_OS_ChangeinGrossUnearnedPremiumReserves">Model!$140:$140</definedName>
    <definedName name="z_86R6WP0138_MO_OS_ChangeinNetLossReserves">Model!$151:$151</definedName>
    <definedName name="z_86R6WP0138_MO_OS_ChangeinNetUnearnedPremiumReserves">Model!$142:$142</definedName>
    <definedName name="z_86R6WP0138_MO_OS_ConsensusEstimatesTotalCombinedRatio">Model!$124:$124</definedName>
    <definedName name="z_86R6WP0138_MO_OS_ConsensusEstimatesTotalNetEarnedPremiums">Model!$40:$40</definedName>
    <definedName name="z_86R6WP0138_MO_OS_ConsensusEstimatesTotalUnderwritingIncome">Model!$79:$79</definedName>
    <definedName name="z_86R6WP0138_MO_OS_Coverpagecommonstockoutstanding">Model!$438:$438</definedName>
    <definedName name="z_86R6WP0138_MO_OS_DACandVOBA">Model!$127:$127</definedName>
    <definedName name="z_86R6WP0138_MO_OS_Dateofcoverpagesharecount">Model!$439:$439</definedName>
    <definedName name="z_86R6WP0138_MO_OS_DebttoCapitalRatio">Model!$488:$488</definedName>
    <definedName name="z_86R6WP0138_MO_OS_Dilutedsharecounttobasicsharecountratio">Model!$442:$442</definedName>
    <definedName name="z_86R6WP0138_MO_OS_DilutiveShares">Model!$441:$441</definedName>
    <definedName name="z_86R6WP0138_MO_OS_EffectiveInterestRateonDebt">Model!$495:$495</definedName>
    <definedName name="z_86R6WP0138_MO_OS_EoPTotalDilutedCommonStockOutstanding">Model!$444:$444</definedName>
    <definedName name="z_86R6WP0138_MO_OS_EstimatedSharePriceforIssuanceBuybacks">Model!$492:$492</definedName>
    <definedName name="z_86R6WP0138_MO_OS_Feeincome">Model!$167:$167</definedName>
    <definedName name="z_86R6WP0138_MO_OS_GrossLossReserves">Model!$145:$145</definedName>
    <definedName name="z_86R6WP0138_MO_OS_GrossUnearnedPremiumReserves">Model!$136:$136</definedName>
    <definedName name="z_86R6WP0138_MO_OS_InterestExpense_8">Model!$494:$494</definedName>
    <definedName name="z_86R6WP0138_MO_OS_InterestExpenseOtherGeneralandadministrativeexpenses">Model!$333:$333</definedName>
    <definedName name="z_86R6WP0138_MO_OS_InterestExpenseOtherIncometaxbenefit">Model!$336:$336</definedName>
    <definedName name="z_86R6WP0138_MO_OS_InterestExpenseOtherInterestexpense">Model!$332:$332</definedName>
    <definedName name="z_86R6WP0138_MO_OS_InterestExpenseOtherLoss_1">Model!$337:$337</definedName>
    <definedName name="z_86R6WP0138_MO_OS_InterestExpenseOtherLossbeforeincometaxbenefit">Model!$335:$335</definedName>
    <definedName name="z_86R6WP0138_MO_OS_InterestExpenseOtherOtherrevenues">Model!$330:$330</definedName>
    <definedName name="z_86R6WP0138_MO_OS_InterestExpenseOtherTotalclaimsandexpenses">Model!$334:$334</definedName>
    <definedName name="z_86R6WP0138_MO_OS_InterestExpenseOtherTotalrevenues">Model!$331:$331</definedName>
    <definedName name="z_86R6WP0138_MO_OS_Longtermdebt">Model!$483:$483</definedName>
    <definedName name="z_86R6WP0138_MO_OS_LossandLAEIncurred">Model!$149:$149</definedName>
    <definedName name="z_86R6WP0138_MO_OS_LossandLAEPaidImplied">Model!$150:$150</definedName>
    <definedName name="z_86R6WP0138_MO_OS_LossPayoutRatio">Model!$153:$153</definedName>
    <definedName name="z_86R6WP0138_MO_OS_NetDebtIssuanceRepayment">Model!$490:$490</definedName>
    <definedName name="z_86R6WP0138_MO_OS_Netfavourableunfavourableprioryearreservedevelopment">Model!$105:$105</definedName>
    <definedName name="z_86R6WP0138_MO_OS_NetInvestmentGains">Model!$164:$164</definedName>
    <definedName name="z_86R6WP0138_MO_OS_NetInvestmentIncome">Model!$162:$162</definedName>
    <definedName name="z_86R6WP0138_MO_OS_NetInvestmentIncomeYieldAnnualized">Model!$160:$160</definedName>
    <definedName name="z_86R6WP0138_MO_OS_NetLossReserves">Model!$147:$147</definedName>
    <definedName name="z_86R6WP0138_MO_OS_NetShareIssuanceBuybacks">Model!$491:$491</definedName>
    <definedName name="z_86R6WP0138_MO_OS_NetUnearnedPremiumReserves">Model!$138:$138</definedName>
    <definedName name="z_86R6WP0138_MO_OS_Otherrevenues">Model!$168:$168</definedName>
    <definedName name="z_86R6WP0138_MO_OS_PercentageofTotalWrittenPremiumsEarned">Model!$90:$90</definedName>
    <definedName name="z_86R6WP0138_MO_OS_PersonalInsuranceAmortizationofdeferredacquisitioncosts">Model!$289:$289</definedName>
    <definedName name="z_86R6WP0138_MO_OS_PersonalInsuranceAutomobile_1">Model!$321:$321</definedName>
    <definedName name="z_86R6WP0138_MO_OS_PersonalInsuranceAutomobilePoliciesinForce">Model!$317:$317</definedName>
    <definedName name="z_86R6WP0138_MO_OS_PersonalInsuranceCatastrophesnetofreinsurance">Model!$306:$306</definedName>
    <definedName name="z_86R6WP0138_MO_OS_PersonalInsuranceCatastrophesnetofreinsurance_1">Model!$52:$52</definedName>
    <definedName name="z_86R6WP0138_MO_OS_PersonalInsuranceCatastrophesnetofreinsurance_2">Model!$102:$102</definedName>
    <definedName name="z_86R6WP0138_MO_OS_PersonalInsurancecededearnedpremiums">Model!$34:$34</definedName>
    <definedName name="z_86R6WP0138_MO_OS_PersonalInsurancecededwrittenpremiums">Model!$21:$21</definedName>
    <definedName name="z_86R6WP0138_MO_OS_PersonalInsuranceClaimsandclaimadjustmentexpenses">Model!$288:$288</definedName>
    <definedName name="z_86R6WP0138_MO_OS_PersonalInsurancecombinedratio">Model!$121:$121</definedName>
    <definedName name="z_86R6WP0138_MO_OS_PersonalInsuranceCombinedratio_3">Model!$303:$303</definedName>
    <definedName name="z_86R6WP0138_MO_OS_PersonalInsurancecombinedunderwritingexpenses">Model!$71:$71</definedName>
    <definedName name="z_86R6WP0138_MO_OS_PersonalInsuranceDirecttoConsumer">Model!$324:$324</definedName>
    <definedName name="z_86R6WP0138_MO_OS_PersonalInsuranceFeeincome">Model!$285:$285</definedName>
    <definedName name="z_86R6WP0138_MO_OS_PersonalInsuranceGeneralandadministrativeexpenses">Model!$290:$290</definedName>
    <definedName name="z_86R6WP0138_MO_OS_PersonalInsurancegrossearnedpremiums">Model!$30:$30</definedName>
    <definedName name="z_86R6WP0138_MO_OS_PersonalInsurancegrosswrittenpremiums">Model!$17:$17</definedName>
    <definedName name="z_86R6WP0138_MO_OS_PersonalInsuranceGrosswrittenpremiums_2">Model!$310:$310</definedName>
    <definedName name="z_86R6WP0138_MO_OS_PersonalInsurancegrosswrittenpremiumsgrowth">Model!$9:$9</definedName>
    <definedName name="z_86R6WP0138_MO_OS_PersonalInsuranceHomeownersandother_1">Model!$322:$322</definedName>
    <definedName name="z_86R6WP0138_MO_OS_PersonalInsuranceHomeownersandOtherPoliciesinForce">Model!$318:$318</definedName>
    <definedName name="z_86R6WP0138_MO_OS_PersonalInsuranceIncometaxexpensebenefit">Model!$293:$293</definedName>
    <definedName name="z_86R6WP0138_MO_OS_PersonalInsuranceInternational">Model!$326:$326</definedName>
    <definedName name="z_86R6WP0138_MO_OS_PersonalInsurancelossandLAE">Model!$53:$53</definedName>
    <definedName name="z_86R6WP0138_MO_OS_PersonalInsurancelossandLAEratio">Model!$103:$103</definedName>
    <definedName name="z_86R6WP0138_MO_OS_PersonalInsuranceLossandLAEratio_3">Model!$301:$301</definedName>
    <definedName name="z_86R6WP0138_MO_OS_PersonalInsurancelossandLAEratioexclPYDCAT">Model!$50:$50</definedName>
    <definedName name="z_86R6WP0138_MO_OS_PersonalInsurancelossandLAEratioexclPYDCAT_1">Model!$100:$100</definedName>
    <definedName name="z_86R6WP0138_MO_OS_PersonalInsuranceLossesandLAE">Model!$313:$313</definedName>
    <definedName name="z_86R6WP0138_MO_OS_PersonalInsurancenetearnedpremiums">Model!$38:$38</definedName>
    <definedName name="z_86R6WP0138_MO_OS_PersonalInsuranceNetearnedpremiums_1">Model!$312:$312</definedName>
    <definedName name="z_86R6WP0138_MO_OS_PersonalInsuranceNetfavourableunfavourableprioryearreservedevelopment">Model!$305:$305</definedName>
    <definedName name="z_86R6WP0138_MO_OS_PersonalInsuranceNetfavourableunfavourableprioryearreservedevelopment_1">Model!$51:$51</definedName>
    <definedName name="z_86R6WP0138_MO_OS_PersonalInsuranceNetfavourableunfavourableprioryearreservedevelopment_2">Model!$101:$101</definedName>
    <definedName name="z_86R6WP0138_MO_OS_PersonalInsuranceNetinvestmentincome">Model!$284:$284</definedName>
    <definedName name="z_86R6WP0138_MO_OS_PersonalInsuranceNetinvestmentincomeaftertax">Model!$297:$297</definedName>
    <definedName name="z_86R6WP0138_MO_OS_PersonalInsurancenetretentionratio">Model!$84:$84</definedName>
    <definedName name="z_86R6WP0138_MO_OS_PersonalInsurancenetwrittenpremiums">Model!$25:$25</definedName>
    <definedName name="z_86R6WP0138_MO_OS_PersonalInsuranceNetwrittenpremiums_1">Model!$311:$311</definedName>
    <definedName name="z_86R6WP0138_MO_OS_PersonalInsuranceOtherincomeexpense">Model!$298:$298</definedName>
    <definedName name="z_86R6WP0138_MO_OS_PersonalInsuranceotheroperatingexpenses">Model!$66:$66</definedName>
    <definedName name="z_86R6WP0138_MO_OS_PersonalInsuranceotheroperatingexpensesratio">Model!$116:$116</definedName>
    <definedName name="z_86R6WP0138_MO_OS_PersonalInsuranceOtherrevenues">Model!$286:$286</definedName>
    <definedName name="z_86R6WP0138_MO_OS_PersonalInsurancepercentageofwrittenpremiumsearned">Model!$89:$89</definedName>
    <definedName name="z_86R6WP0138_MO_OS_PersonalInsurancepolicyacquisitionexpenseratio">Model!$111:$111</definedName>
    <definedName name="z_86R6WP0138_MO_OS_PersonalInsurancepolicyacquisitionexpenses">Model!$61:$61</definedName>
    <definedName name="z_86R6WP0138_MO_OS_PersonalInsurancePremiums">Model!$283:$283</definedName>
    <definedName name="z_86R6WP0138_MO_OS_PersonalInsuranceSegmentincome_1">Model!$294:$294</definedName>
    <definedName name="z_86R6WP0138_MO_OS_PersonalInsuranceSegmentincome_2">Model!$299:$299</definedName>
    <definedName name="z_86R6WP0138_MO_OS_PersonalInsuranceSegmentincomebeforeincometaxes">Model!$292:$292</definedName>
    <definedName name="z_86R6WP0138_MO_OS_PersonalInsuranceStatutoryunderwritinggainloss">Model!$315:$315</definedName>
    <definedName name="z_86R6WP0138_MO_OS_PersonalInsuranceTotalAgency">Model!$323:$323</definedName>
    <definedName name="z_86R6WP0138_MO_OS_PersonalInsuranceTotalclaimsandexpenses">Model!$291:$291</definedName>
    <definedName name="z_86R6WP0138_MO_OS_PersonalInsuranceTotalDomestic">Model!$325:$325</definedName>
    <definedName name="z_86R6WP0138_MO_OS_PersonalInsuranceTotalNetWrittenPremiums">Model!$327:$327</definedName>
    <definedName name="z_86R6WP0138_MO_OS_PersonalInsuranceTotalrevenues">Model!$287:$287</definedName>
    <definedName name="z_86R6WP0138_MO_OS_PersonalInsuranceUnderlyingcombinedratio">Model!$307:$307</definedName>
    <definedName name="z_86R6WP0138_MO_OS_PersonalInsuranceUnderwritingexpenseratio">Model!$302:$302</definedName>
    <definedName name="z_86R6WP0138_MO_OS_PersonalInsuranceUnderwritingexpenses">Model!$314:$314</definedName>
    <definedName name="z_86R6WP0138_MO_OS_PersonalInsuranceUnderwritinggainloss">Model!$296:$296</definedName>
    <definedName name="z_86R6WP0138_MO_OS_PersonalInsuranceunderwritingincome">Model!$76:$76</definedName>
    <definedName name="z_86R6WP0138_MO_OS_PolicyAcquisitionExpenseIncurred">Model!$129:$129</definedName>
    <definedName name="z_86R6WP0138_MO_OS_PolicyAcquisitionExpensePaidImplied">Model!$130:$130</definedName>
    <definedName name="z_86R6WP0138_MO_OS_PolicyAcquisitionExpensePayoutRatio">Model!$133:$133</definedName>
    <definedName name="z_86R6WP0138_MO_OS_QQbasicshareexpansionEoP">Model!$435:$435</definedName>
    <definedName name="z_86R6WP0138_MO_OS_QQbasicshareexpansionfromdilutivesecurities">Model!$431:$431</definedName>
    <definedName name="z_86R6WP0138_MO_OS_QQbasicshareexpansionfromshareissuancebuyback">Model!$433:$433</definedName>
    <definedName name="z_86R6WP0138_MO_OS_ReinsuranceRecoverable">Model!$146:$146</definedName>
    <definedName name="z_86R6WP0138_MO_OS_Shorttermdebt">Model!$482:$482</definedName>
    <definedName name="z_86R6WP0138_MO_OS_TotalCapitalization">Model!$486:$486</definedName>
    <definedName name="z_86R6WP0138_MO_OS_TotalCatastrophesnetofreinsurance">Model!$56:$56</definedName>
    <definedName name="z_86R6WP0138_MO_OS_TotalCededEarnedPremiums">Model!$35:$35</definedName>
    <definedName name="z_86R6WP0138_MO_OS_TotalCededWrittenPremiums">Model!$22:$22</definedName>
    <definedName name="z_86R6WP0138_MO_OS_TotalCombinedRatio">Model!$122:$122</definedName>
    <definedName name="z_86R6WP0138_MO_OS_TotalCombinedRatioexclPYDCAT">Model!$123:$123</definedName>
    <definedName name="z_86R6WP0138_MO_OS_TotalCombinedUnderwritingExpenses">Model!$72:$72</definedName>
    <definedName name="z_86R6WP0138_MO_OS_TotalDebt">Model!$484:$484</definedName>
    <definedName name="z_86R6WP0138_MO_OS_TotalEmployees">Model!$340:$340</definedName>
    <definedName name="z_86R6WP0138_MO_OS_TotalGrossEarnedPremiums">Model!$31:$31</definedName>
    <definedName name="z_86R6WP0138_MO_OS_TotalGrossWrittenPremiums">Model!$18:$18</definedName>
    <definedName name="z_86R6WP0138_MO_OS_TotalGrossWrittenPremiumsGrowth">Model!$10:$10</definedName>
    <definedName name="z_86R6WP0138_MO_OS_TotalInvestmentsAverageBalance">Model!$158:$158</definedName>
    <definedName name="z_86R6WP0138_MO_OS_TotalInvestmentsEndBalance">Model!$156:$156</definedName>
    <definedName name="z_86R6WP0138_MO_OS_TotalInvestmentsEndBalanceGrowth">Model!$157:$157</definedName>
    <definedName name="z_86R6WP0138_MO_OS_TotalLossandLAE">Model!$57:$57</definedName>
    <definedName name="z_86R6WP0138_MO_OS_TotalLossandLAERatio">Model!$107:$107</definedName>
    <definedName name="z_86R6WP0138_MO_OS_TotallossandLAEratioexclPYDCAT">Model!$54:$54</definedName>
    <definedName name="z_86R6WP0138_MO_OS_TotallossandLAEratioexclPYDCAT_1">Model!$104:$104</definedName>
    <definedName name="z_86R6WP0138_MO_OS_TotalNetEarnedPremiums">Model!$39:$39</definedName>
    <definedName name="z_86R6WP0138_MO_OS_TotalNetEarnedPremiumsGrowth">Model!$11:$11</definedName>
    <definedName name="z_86R6WP0138_MO_OS_TotalNetfavourableunfavourableprioryearreservedevelopment">Model!$55:$55</definedName>
    <definedName name="z_86R6WP0138_MO_OS_TotalNetRetentionRatio">Model!$85:$85</definedName>
    <definedName name="z_86R6WP0138_MO_OS_TotalNetWrittenPremiums">Model!$26:$26</definedName>
    <definedName name="z_86R6WP0138_MO_OS_TotalOtherIncome">Model!$169:$169</definedName>
    <definedName name="z_86R6WP0138_MO_OS_TotalOtherOperatingExpenses">Model!$67:$67</definedName>
    <definedName name="z_86R6WP0138_MO_OS_TotalOtherOperatingExpensesRatio">Model!$117:$117</definedName>
    <definedName name="z_86R6WP0138_MO_OS_TotalPolicyAcquisitionExpense">Model!$62:$62</definedName>
    <definedName name="z_86R6WP0138_MO_OS_TotalPolicyAcquisitionExpenseRatio">Model!$112:$112</definedName>
    <definedName name="z_86R6WP0138_MO_OS_TotalShareholdersEquity">Model!$485:$485</definedName>
    <definedName name="z_86R6WP0138_MO_OS_TotalUnderwritingIncome">Model!$77:$77</definedName>
    <definedName name="z_86R6WP0138_MO_OS_TotalUnderwritingIncomeexclPYDCAT">Model!$78:$78</definedName>
    <definedName name="z_86R6WP0138_MO_OS_TotalUnderwritingIncomeGrowth">Model!$12:$12</definedName>
    <definedName name="z_86R6WP0138_MO_OS_YYbasicshareexpansionEoP">Model!$436:$436</definedName>
    <definedName name="z_86R6WP0138_MO_OS_YYbasicshareexpansionfromdilutivesecurities">Model!$432:$432</definedName>
    <definedName name="z_86R6WP0138_MO_OS_YYbasicshareexpansionfromshareissuancebuyback">Model!$434:$434</definedName>
    <definedName name="z_86R6WP0138_MO_OS_YYOtherIncomeGrowth">Model!$171:$171</definedName>
    <definedName name="z_86R6WP0138_MO_RIS_AdjustedEarningsPerShareWAD">Model!$422:$422</definedName>
    <definedName name="z_86R6WP0138_MO_RIS_AdjustedNetIncome">Model!$415:$415</definedName>
    <definedName name="z_86R6WP0138_MO_RIS_AdjustedSharesOutstandingWAD">Model!$427:$427</definedName>
    <definedName name="z_86R6WP0138_MO_RIS_AdjustmentsforConvertibleSecurities">Model!$411:$411</definedName>
    <definedName name="z_86R6WP0138_MO_RIS_ConsensusEstimatesAdjustedEarningsPerShareWAD">Model!$423:$423</definedName>
    <definedName name="z_86R6WP0138_MO_RIS_ConsensusEstimatesEBT">Model!$401:$401</definedName>
    <definedName name="z_86R6WP0138_MO_RIS_ConsensusEstimatesNetRevenue">Model!$394:$394</definedName>
    <definedName name="z_86R6WP0138_MO_RIS_CurrentTax">Model!$403:$403</definedName>
    <definedName name="z_86R6WP0138_MO_RIS_CurrentTaxRate">Model!$417:$417</definedName>
    <definedName name="z_86R6WP0138_MO_RIS_DeferredTax">Model!$404:$404</definedName>
    <definedName name="z_86R6WP0138_MO_RIS_DeferredTaxRate">Model!$418:$418</definedName>
    <definedName name="z_86R6WP0138_MO_RIS_DilutedNetIncometoCommonShareholders">Model!$412:$412</definedName>
    <definedName name="z_86R6WP0138_MO_RIS_DiscontinuedOperations">Model!$407:$407</definedName>
    <definedName name="z_86R6WP0138_MO_RIS_EarningsfromEquityInvestments">Model!$406:$406</definedName>
    <definedName name="z_86R6WP0138_MO_RIS_EarningsPerShareWAB">Model!$420:$420</definedName>
    <definedName name="z_86R6WP0138_MO_RIS_EarningsPerShareWAD">Model!$421:$421</definedName>
    <definedName name="z_86R6WP0138_MO_RIS_EarningstoPreferredandOtherSecurities">Model!$409:$409</definedName>
    <definedName name="z_86R6WP0138_MO_RIS_EBT">Model!$400:$400</definedName>
    <definedName name="z_86R6WP0138_MO_RIS_InterestExpense">Model!$399:$399</definedName>
    <definedName name="z_86R6WP0138_MO_RIS_LossandLAE">Model!$396:$396</definedName>
    <definedName name="z_86R6WP0138_MO_RIS_NetEarnedPremiums">Model!$389:$389</definedName>
    <definedName name="z_86R6WP0138_MO_RIS_NetIncomefromContinuedOperation">Model!$405:$405</definedName>
    <definedName name="z_86R6WP0138_MO_RIS_NetIncometoCommonShareholders">Model!$410:$410</definedName>
    <definedName name="z_86R6WP0138_MO_RIS_NetIncometoNCI">Model!$408:$408</definedName>
    <definedName name="z_86R6WP0138_MO_RIS_NetInvestmentGains">Model!$391:$391</definedName>
    <definedName name="z_86R6WP0138_MO_RIS_NetInvestmentIncome">Model!$390:$390</definedName>
    <definedName name="z_86R6WP0138_MO_RIS_NetRevenue">Model!$393:$393</definedName>
    <definedName name="z_86R6WP0138_MO_RIS_NonGAAPAdjustments">Model!$413:$413</definedName>
    <definedName name="z_86R6WP0138_MO_RIS_NonGAAPAdjustmentsforDilutiveSecurities">Model!$414:$414</definedName>
    <definedName name="z_86R6WP0138_MO_RIS_OtherIncome">Model!$392:$392</definedName>
    <definedName name="z_86R6WP0138_MO_RIS_OtherOperatingExpenses">Model!$398:$398</definedName>
    <definedName name="z_86R6WP0138_MO_RIS_PolicyAcquisitionExpenses">Model!$397:$397</definedName>
    <definedName name="z_86R6WP0138_MO_RIS_SharesOutstandingEoPB">Model!$430:$430</definedName>
    <definedName name="z_86R6WP0138_MO_RIS_SharesOutstandingWAB">Model!$425:$425</definedName>
    <definedName name="z_86R6WP0138_MO_RIS_SharesOutstandingWAD">Model!$426:$426</definedName>
    <definedName name="z_86R6WP0138_MO_Section_BS_BalanceSheet">Model!$624:$624</definedName>
    <definedName name="z_86R6WP0138_MO_Section_BS_ModelChecks">Model!$667:$667</definedName>
    <definedName name="z_86R6WP0138_MO_Section_BSS_BalanceSheetSummary">Model!$452:$452</definedName>
    <definedName name="z_86R6WP0138_MO_Section_BSS_SIC">Model!$497:$497</definedName>
    <definedName name="z_86R6WP0138_MO_Section_CCFS_CumulativeCashFlowStatement">Model!$516:$516</definedName>
    <definedName name="z_86R6WP0138_MO_Section_CFS_CashFlowStatement">Model!$569:$569</definedName>
    <definedName name="z_86R6WP0138_MO_Section_DS_DividendSummary">Model!$446:$446</definedName>
    <definedName name="z_86R6WP0138_MO_Section_IS_AdjustedNumbersASREPORTED">Model!$360:$360</definedName>
    <definedName name="z_86R6WP0138_MO_Section_IS_IncomeStatement">Model!$342:$342</definedName>
    <definedName name="z_86R6WP0138_MO_Section_OS_CapitalResources">Model!$481:$481</definedName>
    <definedName name="z_86R6WP0138_MO_Section_OS_DeferredAcquisitionCostsandValueofBusinessAcquired">Model!$126:$126</definedName>
    <definedName name="z_86R6WP0138_MO_Section_OS_GrowthAnalysis">Model!$6:$6</definedName>
    <definedName name="z_86R6WP0138_MO_Section_OS_II">Model!$155:$155</definedName>
    <definedName name="z_86R6WP0138_MO_Section_OS_KeyMetricsBondSpecialtyInsuranceNWPbyMarketProductLinePRSupplemental">Model!$268:$268</definedName>
    <definedName name="z_86R6WP0138_MO_Section_OS_KeyMetricsBondSpecialtyInsuranceStatutoryUnderwritingSupplemental">Model!$258:$258</definedName>
    <definedName name="z_86R6WP0138_MO_Section_OS_KeyMetricsBusinessInsuranceNWPbyMarketProductLinePRSupplemental">Model!$210:$210</definedName>
    <definedName name="z_86R6WP0138_MO_Section_OS_KeyMetricsBusinessInsuranceStatutoryUnderwritingSupplemental">Model!$200:$200</definedName>
    <definedName name="z_86R6WP0138_MO_Section_OS_KeyMetricsEmployeesFS">Model!$339:$339</definedName>
    <definedName name="z_86R6WP0138_MO_Section_OS_KeyMetricsPersonalInsuranceNWPbyMarketPRSupplemental">Model!$320:$320</definedName>
    <definedName name="z_86R6WP0138_MO_Section_OS_KeyMetricsPersonalInsuranceStatutoryUnderwritingSupplemental">Model!$309:$309</definedName>
    <definedName name="z_86R6WP0138_MO_Section_OS_LR">Model!$144:$144</definedName>
    <definedName name="z_86R6WP0138_MO_Section_OS_OtherIncome">Model!$166:$166</definedName>
    <definedName name="z_86R6WP0138_MO_Section_OS_SegmentedResultsInterestExpenseOtherSupplemental">Model!$329:$329</definedName>
    <definedName name="z_86R6WP0138_MO_Section_OS_ShareCountAnalysis">Model!$429:$429</definedName>
    <definedName name="z_86R6WP0138_MO_Section_OS_UI">Model!$14:$14</definedName>
    <definedName name="z_86R6WP0138_MO_Section_OS_UPR">Model!$135:$135</definedName>
    <definedName name="z_86R6WP0138_MO_Section_OS_UR">Model!$81:$81</definedName>
    <definedName name="z_86R6WP0138_MO_Section_RIS_RevisedIncomeStatement">Model!$388:$388</definedName>
    <definedName name="z_86R6WP0138_MO_Section_SNA_Canalyst">Model!$842:$842</definedName>
    <definedName name="z_86R6WP0138_MO_Section_SNA_OtherTables">Model!$695:$695</definedName>
    <definedName name="z_86R6WP0138_MO_Section_VA_Valuation">Model!$501:$501</definedName>
    <definedName name="z_86R6WP0138_MO_SubSection_OS_SegmentedResultsBondSpecialtyInsuranceSupplemental">Model!$231:$231</definedName>
    <definedName name="z_86R6WP0138_MO_SubSection_OS_SegmentedResultsBusinessInsuranceSupplemental">Model!$173:$173</definedName>
    <definedName name="z_86R6WP0138_MO_SubSection_OS_SegmentedResultsPersonalInsuranceSupplemental">Model!$282:$282</definedName>
    <definedName name="z_86R6WP0138_MO_Unstructured_SNA_AnnualGuidanceTable">Model!$769:$769</definedName>
    <definedName name="z_86R6WP0138_MO_Unstructured_SNA_ApplicablePeriod">Model!$766:$766</definedName>
    <definedName name="z_86R6WP0138_MO_Unstructured_SNA_ApplicablePeriod_1">Model!$772:$772</definedName>
    <definedName name="z_86R6WP0138_MO_Unstructured_SNA_ApplyTradeCurrencyScaling">Model!$829:$829</definedName>
    <definedName name="z_86R6WP0138_MO_Unstructured_SNA_Avg">Model!$707:$707</definedName>
    <definedName name="z_86R6WP0138_MO_Unstructured_SNA_Bloomberg">Model!$793:$793</definedName>
    <definedName name="z_86R6WP0138_MO_Unstructured_SNA_Bloomberg_1">Model!$800:$800</definedName>
    <definedName name="z_86R6WP0138_MO_Unstructured_SNA_Bloomberg_2">Model!$807:$807</definedName>
    <definedName name="z_86R6WP0138_MO_Unstructured_SNA_Bloomberg_3">Model!$814:$814</definedName>
    <definedName name="z_86R6WP0138_MO_Unstructured_SNA_BookValueperCommonShare">Model!$714:$714</definedName>
    <definedName name="z_86R6WP0138_MO_Unstructured_SNA_CapitalIQ">Model!$794:$794</definedName>
    <definedName name="z_86R6WP0138_MO_Unstructured_SNA_CapitalIQ_1">Model!$801:$801</definedName>
    <definedName name="z_86R6WP0138_MO_Unstructured_SNA_CapitalIQ_2">Model!$808:$808</definedName>
    <definedName name="z_86R6WP0138_MO_Unstructured_SNA_CapitalIQ_3">Model!$815:$815</definedName>
    <definedName name="z_86R6WP0138_MO_Unstructured_SNA_ConsensusEstimatesBookValueperCommonShare">Model!$784:$784</definedName>
    <definedName name="z_86R6WP0138_MO_Unstructured_SNA_ConsensusEstimatesCoreIncomePerShareWAD">Model!$783:$783</definedName>
    <definedName name="z_86R6WP0138_MO_Unstructured_SNA_ConsensusEstimatesEBT">Model!$782:$782</definedName>
    <definedName name="z_86R6WP0138_MO_Unstructured_SNA_ConsensusEstimatesNetRevenue">Model!$781:$781</definedName>
    <definedName name="z_86R6WP0138_MO_Unstructured_SNA_ConsensusEstimatesReturnonAverageCommonEquity">Model!$785:$785</definedName>
    <definedName name="z_86R6WP0138_MO_Unstructured_SNA_ConsensusEstimatesTotalCombinedRatio">Model!$780:$780</definedName>
    <definedName name="z_86R6WP0138_MO_Unstructured_SNA_ConsensusEstimatesTotalNetEarnedPremiums">Model!$778:$778</definedName>
    <definedName name="z_86R6WP0138_MO_Unstructured_SNA_ConsensusEstimatesTotalUnderwritingIncome">Model!$779:$779</definedName>
    <definedName name="z_86R6WP0138_MO_Unstructured_SNA_ConsensusEstimateTable">Model!$775:$775</definedName>
    <definedName name="z_86R6WP0138_MO_Unstructured_SNA_CoreIncomePerShareWAD">Model!$712:$712</definedName>
    <definedName name="z_86R6WP0138_MO_Unstructured_SNA_CurrentFiscalYear">Model!$837:$837</definedName>
    <definedName name="z_86R6WP0138_MO_Unstructured_SNA_DataSourceIndex">Model!$840:$840</definedName>
    <definedName name="z_86R6WP0138_MO_Unstructured_SNA_EoP">Model!$708:$708</definedName>
    <definedName name="z_86R6WP0138_MO_Unstructured_SNA_FactSet">Model!$795:$795</definedName>
    <definedName name="z_86R6WP0138_MO_Unstructured_SNA_FactSet_1">Model!$802:$802</definedName>
    <definedName name="z_86R6WP0138_MO_Unstructured_SNA_FactSet_2">Model!$809:$809</definedName>
    <definedName name="z_86R6WP0138_MO_Unstructured_SNA_FactSet_3">Model!$816:$816</definedName>
    <definedName name="z_86R6WP0138_MO_Unstructured_SNA_FirstForecastFiscalYear">Model!$838:$838</definedName>
    <definedName name="z_86R6WP0138_MO_Unstructured_SNA_FiscalPeriodStartDate">Model!$789:$789</definedName>
    <definedName name="z_86R6WP0138_MO_Unstructured_SNA_FXAverageRealTimeOffSource">Model!$812:$812</definedName>
    <definedName name="z_86R6WP0138_MO_Unstructured_SNA_FXEoP">Model!$821:$821</definedName>
    <definedName name="z_86R6WP0138_MO_Unstructured_SNA_FYorFQ">Model!$776:$776</definedName>
    <definedName name="z_86R6WP0138_MO_Unstructured_SNA_GeneralTable">Model!$824:$824</definedName>
    <definedName name="z_86R6WP0138_MO_Unstructured_SNA_High">Model!$705:$705</definedName>
    <definedName name="z_86R6WP0138_MO_Unstructured_SNA_IsHistoricalPeriod">Model!$790:$790</definedName>
    <definedName name="z_86R6WP0138_MO_Unstructured_SNA_IsLatest">Model!$771:$771</definedName>
    <definedName name="z_86R6WP0138_MO_Unstructured_SNA_KeyOutputs">Model!$710:$710</definedName>
    <definedName name="z_86R6WP0138_MO_Unstructured_SNA_KPICount">Model!$839:$839</definedName>
    <definedName name="z_86R6WP0138_MO_Unstructured_SNA_KPIData">Model!$719:$719</definedName>
    <definedName name="z_86R6WP0138_MO_Unstructured_SNA_LastPrice">Model!$825:$825</definedName>
    <definedName name="z_86R6WP0138_MO_Unstructured_SNA_LastPriceDate">Model!$826:$826</definedName>
    <definedName name="z_86R6WP0138_MO_Unstructured_SNA_LastPriceFormula">Model!$828:$828</definedName>
    <definedName name="z_86R6WP0138_MO_Unstructured_SNA_LastWorkingDayInPeriod">Model!$819:$819</definedName>
    <definedName name="z_86R6WP0138_MO_Unstructured_SNA_Low">Model!$706:$706</definedName>
    <definedName name="z_86R6WP0138_MO_Unstructured_SNA_MOBSSBVPS">Model!$754:$754</definedName>
    <definedName name="z_86R6WP0138_MO_Unstructured_SNA_MOBSSNTR">Model!$733:$733</definedName>
    <definedName name="z_86R6WP0138_MO_Unstructured_SNA_MOBSSReserveRatio">Model!$752:$752</definedName>
    <definedName name="z_86R6WP0138_MO_Unstructured_SNA_MOBSSROA">Model!$756:$756</definedName>
    <definedName name="z_86R6WP0138_MO_Unstructured_SNA_MOBSSROE">Model!$757:$757</definedName>
    <definedName name="z_86R6WP0138_MO_Unstructured_SNA_MOBSSROTE">Model!$758:$758</definedName>
    <definedName name="z_86R6WP0138_MO_Unstructured_SNA_MOBSSSolvencyRatio">Model!$753:$753</definedName>
    <definedName name="z_86R6WP0138_MO_Unstructured_SNA_MOBSSTBVPS">Model!$755:$755</definedName>
    <definedName name="z_86R6WP0138_MO_Unstructured_SNA_MOCRDebtToCapitalRatio">Model!$760:$760</definedName>
    <definedName name="z_86R6WP0138_MO_Unstructured_SNA_MOCRTotalCapitalization">Model!$759:$759</definedName>
    <definedName name="z_86R6WP0138_MO_Unstructured_SNA_ModelSheetCurrencyHardcoded">Model!$832:$832</definedName>
    <definedName name="z_86R6WP0138_MO_Unstructured_SNA_MODSPayoutRatio">Model!$761:$761</definedName>
    <definedName name="z_86R6WP0138_MO_Unstructured_SNA_MOKPICombinedRatio">Model!$730:$730</definedName>
    <definedName name="z_86R6WP0138_MO_Unstructured_SNA_MOKPICUP">Model!$745:$745</definedName>
    <definedName name="z_86R6WP0138_MO_Unstructured_SNA_MOKPICWP">Model!$734:$734</definedName>
    <definedName name="z_86R6WP0138_MO_Unstructured_SNA_MOKPIDAC">Model!$743:$743</definedName>
    <definedName name="z_86R6WP0138_MO_Unstructured_SNA_MOKPIGLR">Model!$747:$747</definedName>
    <definedName name="z_86R6WP0138_MO_Unstructured_SNA_MOKPIGUPR">Model!$744:$744</definedName>
    <definedName name="z_86R6WP0138_MO_Unstructured_SNA_MOKPIGWP">Model!$724:$724</definedName>
    <definedName name="z_86R6WP0138_MO_Unstructured_SNA_MOKPIInvestmentBalance">Model!$731:$731</definedName>
    <definedName name="z_86R6WP0138_MO_Unstructured_SNA_MOKPILoss_2">Model!$736:$736</definedName>
    <definedName name="z_86R6WP0138_MO_Unstructured_SNA_MOKPILossexCATS">Model!$735:$735</definedName>
    <definedName name="z_86R6WP0138_MO_Unstructured_SNA_MOKPILossRatio">Model!$728:$728</definedName>
    <definedName name="z_86R6WP0138_MO_Unstructured_SNA_MOKPINEP">Model!$726:$726</definedName>
    <definedName name="z_86R6WP0138_MO_Unstructured_SNA_MOKPINetIG">Model!$751:$751</definedName>
    <definedName name="z_86R6WP0138_MO_Unstructured_SNA_MOKPINetII_1">Model!$750:$750</definedName>
    <definedName name="z_86R6WP0138_MO_Unstructured_SNA_MOKPINetIIYield">Model!$732:$732</definedName>
    <definedName name="z_86R6WP0138_MO_Unstructured_SNA_MOKPINLR">Model!$749:$749</definedName>
    <definedName name="z_86R6WP0138_MO_Unstructured_SNA_MOKPINRR">Model!$740:$740</definedName>
    <definedName name="z_86R6WP0138_MO_Unstructured_SNA_MOKPINUPR">Model!$746:$746</definedName>
    <definedName name="z_86R6WP0138_MO_Unstructured_SNA_MOKPINWP">Model!$725:$725</definedName>
    <definedName name="z_86R6WP0138_MO_Unstructured_SNA_MOKPIOOE">Model!$738:$738</definedName>
    <definedName name="z_86R6WP0138_MO_Unstructured_SNA_MOKPIOOERatio">Model!$742:$742</definedName>
    <definedName name="z_86R6WP0138_MO_Unstructured_SNA_MOKPIPAE_1">Model!$737:$737</definedName>
    <definedName name="z_86R6WP0138_MO_Unstructured_SNA_MOKPIPAERatio">Model!$729:$729</definedName>
    <definedName name="z_86R6WP0138_MO_Unstructured_SNA_MOKPIRR">Model!$748:$748</definedName>
    <definedName name="z_86R6WP0138_MO_Unstructured_SNA_MOKPIUI">Model!$727:$727</definedName>
    <definedName name="z_86R6WP0138_MO_Unstructured_SNA_MOKPIUnderwritingExpense">Model!$739:$739</definedName>
    <definedName name="z_86R6WP0138_MO_Unstructured_SNA_MOKPIWPERatio">Model!$741:$741</definedName>
    <definedName name="z_86R6WP0138_MO_Unstructured_SNA_MOOSEmployeeCount">Model!$723:$723</definedName>
    <definedName name="z_86R6WP0138_MO_Unstructured_SNA_MORISEPSWADAdj">Model!$722:$722</definedName>
    <definedName name="z_86R6WP0138_MO_Unstructured_SNA_MORISNINONGAAPDiluted">Model!$721:$721</definedName>
    <definedName name="z_86R6WP0138_MO_Unstructured_SNA_MORISREV">Model!$720:$720</definedName>
    <definedName name="z_86R6WP0138_MO_Unstructured_SNA_MostRecentFiscalPeriodMRFP">Model!$836:$836</definedName>
    <definedName name="z_86R6WP0138_MO_Unstructured_SNA_MostRecentFX">Model!$833:$833</definedName>
    <definedName name="z_86R6WP0138_MO_Unstructured_SNA_MostRecentFXHardcoded">Model!$834:$834</definedName>
    <definedName name="z_86R6WP0138_MO_Unstructured_SNA_MRFPColumnNumber">Model!$835:$835</definedName>
    <definedName name="z_86R6WP0138_MO_Unstructured_SNA_NYSETRV">Model!$700:$700</definedName>
    <definedName name="z_86R6WP0138_MO_Unstructured_SNA_PBAvg">Model!$716:$716</definedName>
    <definedName name="z_86R6WP0138_MO_Unstructured_SNA_PEAvg">Model!$715:$715</definedName>
    <definedName name="z_86R6WP0138_MO_Unstructured_SNA_Period">Model!$777:$777</definedName>
    <definedName name="z_86R6WP0138_MO_Unstructured_SNA_QuarterlyGuidanceTable">Model!$764:$764</definedName>
    <definedName name="z_86R6WP0138_MO_Unstructured_SNA_RealTimeOffSource">Model!$792:$792</definedName>
    <definedName name="z_86R6WP0138_MO_Unstructured_SNA_RealTimeOffSource_1">Model!$799:$799</definedName>
    <definedName name="z_86R6WP0138_MO_Unstructured_SNA_RealTimeOffSource_2">Model!$806:$806</definedName>
    <definedName name="z_86R6WP0138_MO_Unstructured_SNA_RealTimeOffSource_3">Model!$813:$813</definedName>
    <definedName name="z_86R6WP0138_MO_Unstructured_SNA_RealTimeStockPrice">Model!$827:$827</definedName>
    <definedName name="z_86R6WP0138_MO_Unstructured_SNA_Refinitiv">Model!$796:$796</definedName>
    <definedName name="z_86R6WP0138_MO_Unstructured_SNA_Refinitiv_1">Model!$803:$803</definedName>
    <definedName name="z_86R6WP0138_MO_Unstructured_SNA_Refinitiv_2">Model!$810:$810</definedName>
    <definedName name="z_86R6WP0138_MO_Unstructured_SNA_Refinitiv_3">Model!$817:$817</definedName>
    <definedName name="z_86R6WP0138_MO_Unstructured_SNA_ReportingDate">Model!$765:$765</definedName>
    <definedName name="z_86R6WP0138_MO_Unstructured_SNA_ReportingDate_1">Model!$770:$770</definedName>
    <definedName name="z_86R6WP0138_MO_Unstructured_SNA_ReturnonAverageCommonEquity">Model!$713:$713</definedName>
    <definedName name="z_86R6WP0138_MO_Unstructured_SNA_StockAverageRefinitiv">Model!$805:$805</definedName>
    <definedName name="z_86R6WP0138_MO_Unstructured_SNA_StockHighRefinitiv">Model!$791:$791</definedName>
    <definedName name="z_86R6WP0138_MO_Unstructured_SNA_StockLowRefinitiv">Model!$798:$798</definedName>
    <definedName name="z_86R6WP0138_MO_Unstructured_SNA_StockPriceEoP">Model!$820:$820</definedName>
    <definedName name="z_86R6WP0138_MO_Unstructured_SNA_StockPriceTable">Model!$788:$788</definedName>
    <definedName name="z_86R6WP0138_MO_Unstructured_SNA_TickerSymbol">Model!$697:$697</definedName>
    <definedName name="z_86R6WP0138_MO_Unstructured_SNA_TotalCombinedRatio">Model!$711:$711</definedName>
    <definedName name="z_86R6WP0138_MO_Unstructured_SNA_TradeCurrency">Model!$830:$830</definedName>
    <definedName name="z_86R6WP0138_MO_Unstructured_SNA_TradeCurrencyHardcoded">Model!$831:$831</definedName>
    <definedName name="z_86R6WP0138_MO_Unstructured_SNA_TRVN">Model!$702:$702</definedName>
    <definedName name="z_86R6WP0138_MO_Unstructured_SNA_TRVUS">Model!$699:$699</definedName>
    <definedName name="z_86R6WP0138_MO_Unstructured_SNA_TRVUS_1">Model!$701:$701</definedName>
    <definedName name="z_86R6WP0138_MO_Unstructured_SNA_TRVUS_2">Model!$698:$698</definedName>
    <definedName name="z_86R6WP0138_MO_Unstructured_SNA_ValuationToggleTable">Model!$704:$704</definedName>
    <definedName name="z_86R6WP0138_MO_VA_MarketCapAverage">Model!$503:$503</definedName>
    <definedName name="z_86R6WP0138_MO_VA_PBAverage">Model!$506:$506</definedName>
    <definedName name="z_86R6WP0138_MO_VA_PEAverage">Model!$505:$505</definedName>
    <definedName name="z_86R6WP0138_MO_VA_StockAverage">Model!$510:$510</definedName>
    <definedName name="z_86R6WP0138_MO_VA_StockHigh">Model!$508:$508</definedName>
    <definedName name="z_86R6WP0138_MO_VA_StockLow">Model!$509:$509</definedName>
    <definedName name="z_86R6WP0138_MO_VA_StockPriceAverage">Model!$502:$502</definedName>
    <definedName name="AA.ModelColorScheme">"Classic"</definedName>
    <definedName name="AA.ColorizerVersion">"2.0.4.0"</definedName>
  </definedNames>
  <calcPr fullCalcOnLoad="1" iterate="1" iterateCount="100" iterateDelta="0.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alcChain>
</file>

<file path=xl/comments2.xml><?xml version="1.0" encoding="utf-8"?>
<comments xmlns="http://schemas.openxmlformats.org/spreadsheetml/2006/main" xmlns:mc="http://schemas.openxmlformats.org/markup-compatibility/2006" xmlns:xr="http://schemas.microsoft.com/office/spreadsheetml/2014/revision" mc:Ignorable="xr">
  <authors>
    <author>Canalyst (GK)</author>
    <author>Tegus (KKR)</author>
    <author>Tegus (KuB)</author>
  </authors>
  <commentList>
    <comment ref="F15" authorId="0" shapeId="0" xr:uid="{00000000-0006-0000-0100-000001000000}">
      <text>
        <r>
          <rPr>
            <b/>
            <sz val="9"/>
            <rFont val="Tahoma"/>
            <family val="2"/>
          </rPr>
          <t>Tegus (TW):</t>
        </r>
        <r>
          <rPr>
            <sz val="9"/>
            <rFont val="Tahoma"/>
            <family val="2"/>
          </rPr>
          <t xml:space="preserve">
reported as Business Insurance from FY2012 and prior.</t>
        </r>
      </text>
    </comment>
    <comment ref="I15" authorId="0" shapeId="0" xr:uid="{00000000-0006-0000-0100-000002000000}">
      <text>
        <r>
          <rPr>
            <b/>
            <sz val="9"/>
            <rFont val="Tahoma"/>
            <family val="2"/>
          </rPr>
          <t>Tegus (TW):</t>
        </r>
        <r>
          <rPr>
            <sz val="9"/>
            <rFont val="Tahoma"/>
            <family val="2"/>
          </rPr>
          <t xml:space="preserve">
Effective July 1, 2014: International Insurance group, which had previously been included in the Financial, Professional &amp; International Insurance segment, will be combined with the previous Business Insurance segment to create a new Business &amp; International Insurance segment. The Bond &amp; Financial Products group, which was the remaining business in the Financial, Professional &amp; International Insurance segment, will now comprise the new Bond &amp; Financial Products segment. The Personal Insurance segment will not be impacted by these changes.</t>
        </r>
      </text>
    </comment>
    <comment ref="Q15" authorId="0" shapeId="0" xr:uid="{00000000-0006-0000-0100-000003000000}">
      <text>
        <r>
          <rPr>
            <b/>
            <sz val="9"/>
            <rFont val="Tahoma"/>
            <family val="2"/>
          </rPr>
          <t>Tegus (TW):</t>
        </r>
        <r>
          <rPr>
            <sz val="9"/>
            <rFont val="Tahoma"/>
            <family val="2"/>
          </rPr>
          <t xml:space="preserve">
Reported as Business and International Insurance from 2015Q4 and prior.</t>
        </r>
      </text>
    </comment>
    <comment ref="R15" authorId="0" shapeId="0" xr:uid="{00000000-0006-0000-0100-000004000000}">
      <text>
        <r>
          <rPr>
            <b/>
            <sz val="9"/>
            <rFont val="Tahoma"/>
            <family val="2"/>
          </rPr>
          <t>Tegus (TW):</t>
        </r>
        <r>
          <rPr>
            <sz val="9"/>
            <rFont val="Tahoma"/>
            <family val="2"/>
          </rPr>
          <t xml:space="preserve">
Effective April 1, 2017: Business Resegmented. While the segmentation of the Company’s domestic businesses was unchanged, the Company’s international businesses, which were previously reported in total within the Business and International Insurance segment, were disaggregated by product type among the three newly aligned reportable business segments. All prior periods presented have been reclassified to conform to this presentation (2016Q1-2017Q4).</t>
        </r>
      </text>
    </comment>
    <comment ref="F16" authorId="0" shapeId="0" xr:uid="{00000000-0006-0000-0100-000005000000}">
      <text>
        <r>
          <rPr>
            <b/>
            <sz val="9"/>
            <rFont val="Tahoma"/>
            <family val="2"/>
          </rPr>
          <t>Tegus (TW):</t>
        </r>
        <r>
          <rPr>
            <sz val="9"/>
            <rFont val="Tahoma"/>
            <family val="2"/>
          </rPr>
          <t xml:space="preserve">
reported as Financial, Professional &amp; International Insurance from FY2012 and prior.</t>
        </r>
      </text>
    </comment>
    <comment ref="I16" authorId="0" shapeId="0" xr:uid="{00000000-0006-0000-0100-000006000000}">
      <text>
        <r>
          <rPr>
            <b/>
            <sz val="9"/>
            <rFont val="Tahoma"/>
            <family val="2"/>
          </rPr>
          <t>Tegus (TW):</t>
        </r>
        <r>
          <rPr>
            <sz val="9"/>
            <rFont val="Tahoma"/>
            <family val="2"/>
          </rPr>
          <t xml:space="preserve">
Effective July 1, 2014: International Insurance group, which had previously been included in the Financial, Professional &amp; International Insurance segment, will be combined with the previous Business Insurance segment to create a new Business &amp; International Insurance segment. The Bond &amp; Financial Products group, which was the remaining business in the Financial, Professional &amp; International Insurance segment, will now comprise the new Bond &amp; Financial Products segment. The Personal Insurance segment will not be impacted by these changes.</t>
        </r>
      </text>
    </comment>
    <comment ref="Q16" authorId="0" shapeId="0" xr:uid="{00000000-0006-0000-0100-000007000000}">
      <text>
        <r>
          <rPr>
            <b/>
            <sz val="9"/>
            <rFont val="Tahoma"/>
            <family val="2"/>
          </rPr>
          <t>Tegus (TW):</t>
        </r>
        <r>
          <rPr>
            <sz val="9"/>
            <rFont val="Tahoma"/>
            <family val="2"/>
          </rPr>
          <t xml:space="preserve">
Reported excl. international premiums from 2015Q4 and prior.</t>
        </r>
      </text>
    </comment>
    <comment ref="R16" authorId="0" shapeId="0" xr:uid="{00000000-0006-0000-0100-000008000000}">
      <text>
        <r>
          <rPr>
            <b/>
            <sz val="9"/>
            <rFont val="Tahoma"/>
            <family val="2"/>
          </rPr>
          <t>Tegus (TW):</t>
        </r>
        <r>
          <rPr>
            <sz val="9"/>
            <rFont val="Tahoma"/>
            <family val="2"/>
          </rPr>
          <t xml:space="preserve">
Effective April 1, 2017: Business Resegmented. While the segmentation of the Company’s domestic businesses was unchanged, the Company’s international businesses, which were previously reported in total within the Business and International Insurance segment, were disaggregated by product type among the three newly aligned reportable business segments. All prior periods presented have been reclassified to conform to this presentation (2016Q1-2017Q4).</t>
        </r>
      </text>
    </comment>
    <comment ref="Q17" authorId="0" shapeId="0" xr:uid="{00000000-0006-0000-0100-000009000000}">
      <text>
        <r>
          <rPr>
            <b/>
            <sz val="9"/>
            <rFont val="Tahoma"/>
            <family val="2"/>
          </rPr>
          <t>Tegus (TW):</t>
        </r>
        <r>
          <rPr>
            <sz val="9"/>
            <rFont val="Tahoma"/>
            <family val="2"/>
          </rPr>
          <t xml:space="preserve">
Reported excl. international premiums from 2015Q4 and prior.</t>
        </r>
      </text>
    </comment>
    <comment ref="R17" authorId="0" shapeId="0" xr:uid="{00000000-0006-0000-0100-00000A000000}">
      <text>
        <r>
          <rPr>
            <b/>
            <sz val="9"/>
            <rFont val="Tahoma"/>
            <family val="2"/>
          </rPr>
          <t>Tegus (TW):</t>
        </r>
        <r>
          <rPr>
            <sz val="9"/>
            <rFont val="Tahoma"/>
            <family val="2"/>
          </rPr>
          <t xml:space="preserve">
Effective April 1, 2017: Business Resegmented. While the segmentation of the Company’s domestic businesses was unchanged, the Company’s international businesses, which were previously reported in total within the Business and International Insurance segment, were disaggregated by product type among the three newly aligned reportable business segments. All prior periods presented have been reclassified to conform to this presentation (2016Q1-2017Q4).</t>
        </r>
      </text>
    </comment>
    <comment ref="AR26" authorId="0" shapeId="0" xr:uid="{00000000-0006-0000-0100-00000B000000}">
      <text>
        <r>
          <rPr>
            <b/>
            <sz val="9"/>
            <rFont val="Tahoma"/>
            <family val="2"/>
          </rPr>
          <t>Tegus (OG):</t>
        </r>
        <r>
          <rPr>
            <sz val="9"/>
            <rFont val="Tahoma"/>
            <family val="2"/>
          </rPr>
          <t xml:space="preserve">
Adjusting for the premium refunds provided to personal automobile customers in response to COVID-19 and related economic conditions in the prior year quarter, net written premiums increased 8%</t>
        </r>
      </text>
    </comment>
    <comment ref="AZ39" authorId="0" shapeId="0" xr:uid="{00000000-0006-0000-0100-00000C000000}">
      <text>
        <r>
          <rPr>
            <b/>
            <sz val="9"/>
            <rFont val="Tahoma"/>
            <family val="2"/>
          </rPr>
          <t>Tegus (ArS):</t>
        </r>
        <r>
          <rPr>
            <sz val="9"/>
            <rFont val="Tahoma"/>
            <family val="2"/>
          </rPr>
          <t xml:space="preserve">
Reported as 33,764</t>
        </r>
      </text>
    </comment>
    <comment ref="A77" authorId="0" shapeId="0" xr:uid="{00000000-0006-0000-0100-00000D000000}">
      <text>
        <r>
          <rPr>
            <b/>
            <sz val="9"/>
            <rFont val="Tahoma"/>
            <family val="2"/>
          </rPr>
          <t>Tegus (OG):</t>
        </r>
        <r>
          <rPr>
            <sz val="9"/>
            <rFont val="Tahoma"/>
            <family val="2"/>
          </rPr>
          <t xml:space="preserve">
company calculates underwriting income in a different way than we do</t>
        </r>
      </text>
    </comment>
    <comment ref="A122" authorId="0" shapeId="0" xr:uid="{00000000-0006-0000-0100-00000E000000}">
      <text>
        <r>
          <rPr>
            <b/>
            <sz val="9"/>
            <rFont val="Tahoma"/>
            <family val="2"/>
          </rPr>
          <t>Tegus (OG):</t>
        </r>
        <r>
          <rPr>
            <sz val="9"/>
            <rFont val="Tahoma"/>
            <family val="2"/>
          </rPr>
          <t xml:space="preserve">
company calculates underwriting income in a different way than we do</t>
        </r>
      </text>
    </comment>
    <comment ref="G173" authorId="0" shapeId="0" xr:uid="{00000000-0006-0000-0100-00000F000000}">
      <text>
        <r>
          <rPr>
            <b/>
            <sz val="9"/>
            <rFont val="Tahoma"/>
            <family val="2"/>
          </rPr>
          <t>Tegus (ML):</t>
        </r>
        <r>
          <rPr>
            <sz val="9"/>
            <rFont val="Tahoma"/>
            <family val="2"/>
          </rPr>
          <t xml:space="preserve">
Business and International Insurance</t>
        </r>
      </text>
    </comment>
    <comment ref="I173" authorId="0" shapeId="0" xr:uid="{00000000-0006-0000-0100-000010000000}">
      <text>
        <r>
          <rPr>
            <b/>
            <sz val="9"/>
            <rFont val="Tahoma"/>
            <family val="2"/>
          </rPr>
          <t>Tegus (ML):</t>
        </r>
        <r>
          <rPr>
            <sz val="9"/>
            <rFont val="Tahoma"/>
            <family val="2"/>
          </rPr>
          <t xml:space="preserve">
On June 10, 2014, the Company announced a realignment of its management team, effective July 1, 2014, that gave rise to a realignment of two of its three reportable business segments, as follows: • The Company’s International Insurance group, which had previously been included in the Financial, Professional &amp; International Insurance segment, was combined with the Company’s previous Business Insurance segment to create a new Business and International Insurance segment. • The Bond &amp; Financial Products group, which comprised the remaining businesses in the Financial, Professional &amp; International Insurance segment, now comprises the new Bond &amp; Specialty Insurance segment. • The Personal Insurance segment was not impacted by these changes. </t>
        </r>
      </text>
    </comment>
    <comment ref="Q173" authorId="0" shapeId="0" xr:uid="{00000000-0006-0000-0100-000011000000}">
      <text>
        <r>
          <rPr>
            <b/>
            <sz val="9"/>
            <rFont val="Tahoma"/>
            <family val="2"/>
          </rPr>
          <t>Tegus (ML):</t>
        </r>
        <r>
          <rPr>
            <sz val="9"/>
            <rFont val="Tahoma"/>
            <family val="2"/>
          </rPr>
          <t xml:space="preserve">
The Company’s international businesses, which were previously managed and reported in total within the Business and International Insurance segment, were disaggregated by product type among the three reportable business segments.</t>
        </r>
      </text>
    </comment>
    <comment ref="Q196" authorId="0" shapeId="0" xr:uid="{00000000-0006-0000-0100-000012000000}">
      <text>
        <r>
          <rPr>
            <b/>
            <sz val="9"/>
            <rFont val="Tahoma"/>
            <family val="2"/>
          </rPr>
          <t>Tegus (ML):</t>
        </r>
        <r>
          <rPr>
            <sz val="9"/>
            <rFont val="Tahoma"/>
            <family val="2"/>
          </rPr>
          <t xml:space="preserve">
Impact of prior year reserve development on combined ratio </t>
        </r>
      </text>
    </comment>
    <comment ref="G200" authorId="0" shapeId="0" xr:uid="{00000000-0006-0000-0100-000013000000}">
      <text>
        <r>
          <rPr>
            <b/>
            <sz val="9"/>
            <rFont val="Tahoma"/>
            <family val="2"/>
          </rPr>
          <t>Tegus (ML):</t>
        </r>
        <r>
          <rPr>
            <sz val="9"/>
            <rFont val="Tahoma"/>
            <family val="2"/>
          </rPr>
          <t xml:space="preserve">
Business and International Insurance</t>
        </r>
      </text>
    </comment>
    <comment ref="I200" authorId="0" shapeId="0" xr:uid="{00000000-0006-0000-0100-000014000000}">
      <text>
        <r>
          <rPr>
            <b/>
            <sz val="9"/>
            <rFont val="Tahoma"/>
            <family val="2"/>
          </rPr>
          <t>Tegus (ML):</t>
        </r>
        <r>
          <rPr>
            <sz val="9"/>
            <rFont val="Tahoma"/>
            <family val="2"/>
          </rPr>
          <t xml:space="preserve">
On June 10, 2014, the Company announced a realignment of its management team, effective July 1, 2014, that gave rise to a realignment of two of its three reportable business segments, as follows: • The Company’s International Insurance group, which had previously been included in the Financial, Professional &amp; International Insurance segment, was combined with the Company’s previous Business Insurance segment to create a new Business and International Insurance segment. • The Bond &amp; Financial Products group, which comprised the remaining businesses in the Financial, Professional &amp; International Insurance segment, now comprises the new Bond &amp; Specialty Insurance segment. • The Personal Insurance segment was not impacted by these changes. </t>
        </r>
      </text>
    </comment>
    <comment ref="Q200" authorId="0" shapeId="0" xr:uid="{00000000-0006-0000-0100-000015000000}">
      <text>
        <r>
          <rPr>
            <b/>
            <sz val="9"/>
            <rFont val="Tahoma"/>
            <family val="2"/>
          </rPr>
          <t>Tegus (ML):</t>
        </r>
        <r>
          <rPr>
            <sz val="9"/>
            <rFont val="Tahoma"/>
            <family val="2"/>
          </rPr>
          <t xml:space="preserve">
The Company’s international businesses, which were previously managed and reported in total within the Business and International Insurance segment, were disaggregated by product type among the three reportable business segments.</t>
        </r>
      </text>
    </comment>
    <comment ref="G210" authorId="0" shapeId="0" xr:uid="{00000000-0006-0000-0100-000016000000}">
      <text>
        <r>
          <rPr>
            <b/>
            <sz val="9"/>
            <rFont val="Tahoma"/>
            <family val="2"/>
          </rPr>
          <t>Tegus (ML):</t>
        </r>
        <r>
          <rPr>
            <sz val="9"/>
            <rFont val="Tahoma"/>
            <family val="2"/>
          </rPr>
          <t xml:space="preserve">
Business and International Insurance</t>
        </r>
      </text>
    </comment>
    <comment ref="I210" authorId="0" shapeId="0" xr:uid="{00000000-0006-0000-0100-000017000000}">
      <text>
        <r>
          <rPr>
            <b/>
            <sz val="9"/>
            <rFont val="Tahoma"/>
            <family val="2"/>
          </rPr>
          <t>Tegus (ML):</t>
        </r>
        <r>
          <rPr>
            <sz val="9"/>
            <rFont val="Tahoma"/>
            <family val="2"/>
          </rPr>
          <t xml:space="preserve">
On June 10, 2014, the Company announced a realignment of its management team, effective July 1, 2014, that gave rise to a realignment of two of its three reportable business segments, as follows: • The Company’s International Insurance group, which had previously been included in the Financial, Professional &amp; International Insurance segment, was combined with the Company’s previous Business Insurance segment to create a new Business and International Insurance segment. • The Bond &amp; Financial Products group, which comprised the remaining businesses in the Financial, Professional &amp; International Insurance segment, now comprises the new Bond &amp; Specialty Insurance segment. • The Personal Insurance segment was not impacted by these changes. </t>
        </r>
      </text>
    </comment>
    <comment ref="Q210" authorId="0" shapeId="0" xr:uid="{00000000-0006-0000-0100-000018000000}">
      <text>
        <r>
          <rPr>
            <b/>
            <sz val="9"/>
            <rFont val="Tahoma"/>
            <family val="2"/>
          </rPr>
          <t>Tegus (ML):</t>
        </r>
        <r>
          <rPr>
            <sz val="9"/>
            <rFont val="Tahoma"/>
            <family val="2"/>
          </rPr>
          <t xml:space="preserve">
The Company’s international businesses, which were previously managed and reported in total within the Business and International Insurance segment, were disaggregated by product type among the three reportable business segments.</t>
        </r>
      </text>
    </comment>
    <comment ref="C231" authorId="0" shapeId="0" xr:uid="{00000000-0006-0000-0100-000019000000}">
      <text>
        <r>
          <rPr>
            <b/>
            <sz val="9"/>
            <rFont val="Tahoma"/>
            <family val="2"/>
          </rPr>
          <t>Tegus (ML):</t>
        </r>
        <r>
          <rPr>
            <sz val="9"/>
            <rFont val="Tahoma"/>
            <family val="2"/>
          </rPr>
          <t xml:space="preserve">
Financial, Professional &amp; International Insurance</t>
        </r>
      </text>
    </comment>
    <comment ref="D231" authorId="0" shapeId="0" xr:uid="{00000000-0006-0000-0100-00001A000000}">
      <text>
        <r>
          <rPr>
            <b/>
            <sz val="9"/>
            <rFont val="Tahoma"/>
            <family val="2"/>
          </rPr>
          <t>Tegus (ML):</t>
        </r>
        <r>
          <rPr>
            <sz val="9"/>
            <rFont val="Tahoma"/>
            <family val="2"/>
          </rPr>
          <t xml:space="preserve">
Financial, Professional &amp; International Insurance</t>
        </r>
      </text>
    </comment>
    <comment ref="E231" authorId="0" shapeId="0" xr:uid="{00000000-0006-0000-0100-00001B000000}">
      <text>
        <r>
          <rPr>
            <b/>
            <sz val="9"/>
            <rFont val="Tahoma"/>
            <family val="2"/>
          </rPr>
          <t>Tegus (ML):</t>
        </r>
        <r>
          <rPr>
            <sz val="9"/>
            <rFont val="Tahoma"/>
            <family val="2"/>
          </rPr>
          <t xml:space="preserve">
Financial, Professional &amp; International Insurance</t>
        </r>
      </text>
    </comment>
    <comment ref="F231" authorId="0" shapeId="0" xr:uid="{00000000-0006-0000-0100-00001C000000}">
      <text>
        <r>
          <rPr>
            <b/>
            <sz val="9"/>
            <rFont val="Tahoma"/>
            <family val="2"/>
          </rPr>
          <t>Tegus (ML):</t>
        </r>
        <r>
          <rPr>
            <sz val="9"/>
            <rFont val="Tahoma"/>
            <family val="2"/>
          </rPr>
          <t xml:space="preserve">
Financial, Professional &amp; International Insurance</t>
        </r>
      </text>
    </comment>
    <comment ref="C258" authorId="0" shapeId="0" xr:uid="{00000000-0006-0000-0100-00001D000000}">
      <text>
        <r>
          <rPr>
            <b/>
            <sz val="9"/>
            <rFont val="Tahoma"/>
            <family val="2"/>
          </rPr>
          <t>Tegus (ML):</t>
        </r>
        <r>
          <rPr>
            <sz val="9"/>
            <rFont val="Tahoma"/>
            <family val="2"/>
          </rPr>
          <t xml:space="preserve">
Financial, Professional &amp; International Insurance</t>
        </r>
      </text>
    </comment>
    <comment ref="D258" authorId="0" shapeId="0" xr:uid="{00000000-0006-0000-0100-00001E000000}">
      <text>
        <r>
          <rPr>
            <b/>
            <sz val="9"/>
            <rFont val="Tahoma"/>
            <family val="2"/>
          </rPr>
          <t>Tegus (ML):</t>
        </r>
        <r>
          <rPr>
            <sz val="9"/>
            <rFont val="Tahoma"/>
            <family val="2"/>
          </rPr>
          <t xml:space="preserve">
Financial, Professional &amp; International Insurance</t>
        </r>
      </text>
    </comment>
    <comment ref="E258" authorId="0" shapeId="0" xr:uid="{00000000-0006-0000-0100-00001F000000}">
      <text>
        <r>
          <rPr>
            <b/>
            <sz val="9"/>
            <rFont val="Tahoma"/>
            <family val="2"/>
          </rPr>
          <t>Tegus (ML):</t>
        </r>
        <r>
          <rPr>
            <sz val="9"/>
            <rFont val="Tahoma"/>
            <family val="2"/>
          </rPr>
          <t xml:space="preserve">
Financial, Professional &amp; International Insurance</t>
        </r>
      </text>
    </comment>
    <comment ref="F258" authorId="0" shapeId="0" xr:uid="{00000000-0006-0000-0100-000020000000}">
      <text>
        <r>
          <rPr>
            <b/>
            <sz val="9"/>
            <rFont val="Tahoma"/>
            <family val="2"/>
          </rPr>
          <t>Tegus (ML):</t>
        </r>
        <r>
          <rPr>
            <sz val="9"/>
            <rFont val="Tahoma"/>
            <family val="2"/>
          </rPr>
          <t xml:space="preserve">
Financial, Professional &amp; International Insurance</t>
        </r>
      </text>
    </comment>
    <comment ref="C268" authorId="0" shapeId="0" xr:uid="{00000000-0006-0000-0100-000021000000}">
      <text>
        <r>
          <rPr>
            <b/>
            <sz val="9"/>
            <rFont val="Tahoma"/>
            <family val="2"/>
          </rPr>
          <t>Tegus (ML):</t>
        </r>
        <r>
          <rPr>
            <sz val="9"/>
            <rFont val="Tahoma"/>
            <family val="2"/>
          </rPr>
          <t xml:space="preserve">
Financial, Professional &amp; International Insurance</t>
        </r>
      </text>
    </comment>
    <comment ref="D268" authorId="0" shapeId="0" xr:uid="{00000000-0006-0000-0100-000022000000}">
      <text>
        <r>
          <rPr>
            <b/>
            <sz val="9"/>
            <rFont val="Tahoma"/>
            <family val="2"/>
          </rPr>
          <t>Tegus (ML):</t>
        </r>
        <r>
          <rPr>
            <sz val="9"/>
            <rFont val="Tahoma"/>
            <family val="2"/>
          </rPr>
          <t xml:space="preserve">
Financial, Professional &amp; International Insurance</t>
        </r>
      </text>
    </comment>
    <comment ref="E268" authorId="0" shapeId="0" xr:uid="{00000000-0006-0000-0100-000023000000}">
      <text>
        <r>
          <rPr>
            <b/>
            <sz val="9"/>
            <rFont val="Tahoma"/>
            <family val="2"/>
          </rPr>
          <t>Tegus (ML):</t>
        </r>
        <r>
          <rPr>
            <sz val="9"/>
            <rFont val="Tahoma"/>
            <family val="2"/>
          </rPr>
          <t xml:space="preserve">
Financial, Professional &amp; International Insurance</t>
        </r>
      </text>
    </comment>
    <comment ref="F268" authorId="0" shapeId="0" xr:uid="{00000000-0006-0000-0100-000024000000}">
      <text>
        <r>
          <rPr>
            <b/>
            <sz val="9"/>
            <rFont val="Tahoma"/>
            <family val="2"/>
          </rPr>
          <t>Tegus (ML):</t>
        </r>
        <r>
          <rPr>
            <sz val="9"/>
            <rFont val="Tahoma"/>
            <family val="2"/>
          </rPr>
          <t xml:space="preserve">
Financial, Professional &amp; International Insurance</t>
        </r>
      </text>
    </comment>
    <comment ref="AL320" authorId="0" shapeId="0" xr:uid="{00000000-0006-0000-0100-000025000000}">
      <text>
        <r>
          <rPr>
            <b/>
            <sz val="9"/>
            <rFont val="Tahoma"/>
            <family val="2"/>
          </rPr>
          <t>Tegus (OG):</t>
        </r>
        <r>
          <rPr>
            <sz val="9"/>
            <rFont val="Tahoma"/>
            <family val="2"/>
          </rPr>
          <t xml:space="preserve">
Effective January 1, 2021, Domestic net written premium for Automobile and Homeowners and Other now includes Direct-to-Consumer business. Previously, Direct-to-Consumer net written premiums were presented separately from Domestic Agency net written premiums. All prior periods presented have been reclassified to conform to the current presentation</t>
        </r>
      </text>
    </comment>
    <comment ref="AM320" authorId="0" shapeId="0" xr:uid="{00000000-0006-0000-0100-000026000000}">
      <text>
        <r>
          <rPr>
            <b/>
            <sz val="9"/>
            <rFont val="Tahoma"/>
            <family val="2"/>
          </rPr>
          <t>Tegus (OG):</t>
        </r>
        <r>
          <rPr>
            <sz val="9"/>
            <rFont val="Tahoma"/>
            <family val="2"/>
          </rPr>
          <t xml:space="preserve">
Effective January 1, 2021, Domestic net written premium for Automobile and Homeowners and Other now includes Direct-to-Consumer business. Previously, Direct-to-Consumer net written premiums were presented separately from Domestic Agency net written premiums. All prior periods presented have been reclassified to conform to the current presentation</t>
        </r>
      </text>
    </comment>
    <comment ref="AN320" authorId="0" shapeId="0" xr:uid="{00000000-0006-0000-0100-000027000000}">
      <text>
        <r>
          <rPr>
            <b/>
            <sz val="9"/>
            <rFont val="Tahoma"/>
            <family val="2"/>
          </rPr>
          <t>Tegus (OG):</t>
        </r>
        <r>
          <rPr>
            <sz val="9"/>
            <rFont val="Tahoma"/>
            <family val="2"/>
          </rPr>
          <t xml:space="preserve">
Effective January 1, 2021, Domestic net written premium for Automobile and Homeowners and Other now includes Direct-to-Consumer business. Previously, Direct-to-Consumer net written premiums were presented separately from Domestic Agency net written premiums. All prior periods presented have been reclassified to conform to the current presentation</t>
        </r>
      </text>
    </comment>
    <comment ref="AO320" authorId="0" shapeId="0" xr:uid="{00000000-0006-0000-0100-000028000000}">
      <text>
        <r>
          <rPr>
            <b/>
            <sz val="9"/>
            <rFont val="Tahoma"/>
            <family val="2"/>
          </rPr>
          <t>Tegus (OG):</t>
        </r>
        <r>
          <rPr>
            <sz val="9"/>
            <rFont val="Tahoma"/>
            <family val="2"/>
          </rPr>
          <t xml:space="preserve">
Effective January 1, 2021, Domestic net written premium for Automobile and Homeowners and Other now includes Direct-to-Consumer business. Previously, Direct-to-Consumer net written premiums were presented separately from Domestic Agency net written premiums. All prior periods presented have been reclassified to conform to the current presentation</t>
        </r>
      </text>
    </comment>
    <comment ref="AP320" authorId="0" shapeId="0" xr:uid="{00000000-0006-0000-0100-000029000000}">
      <text>
        <r>
          <rPr>
            <b/>
            <sz val="9"/>
            <rFont val="Tahoma"/>
            <family val="2"/>
          </rPr>
          <t>Tegus (OG):</t>
        </r>
        <r>
          <rPr>
            <sz val="9"/>
            <rFont val="Tahoma"/>
            <family val="2"/>
          </rPr>
          <t xml:space="preserve">
Effective January 1, 2021, Domestic net written premium for Automobile and Homeowners and Other now includes Direct-to-Consumer business. Previously, Direct-to-Consumer net written premiums were presented separately from Domestic Agency net written premiums. All prior periods presented have been reclassified to conform to the current presentation</t>
        </r>
      </text>
    </comment>
    <comment ref="AQ320" authorId="0" shapeId="0" xr:uid="{00000000-0006-0000-0100-00002A000000}">
      <text>
        <r>
          <rPr>
            <b/>
            <sz val="9"/>
            <rFont val="Tahoma"/>
            <family val="2"/>
          </rPr>
          <t>Tegus (OG):</t>
        </r>
        <r>
          <rPr>
            <sz val="9"/>
            <rFont val="Tahoma"/>
            <family val="2"/>
          </rPr>
          <t xml:space="preserve">
Effective January 1, 2021, Domestic net written premium for Automobile and Homeowners and Other now includes Direct-to-Consumer business. Previously, Direct-to-Consumer net written premiums were presented separately from Domestic Agency net written premiums. All prior periods presented have been reclassified to conform to the current presentation</t>
        </r>
      </text>
    </comment>
    <comment ref="BD363" authorId="0" shapeId="0" xr:uid="{00000000-0006-0000-0100-00002B000000}">
      <text>
        <r>
          <rPr>
            <b/>
            <sz val="9"/>
            <rFont val="Tahoma"/>
            <family val="2"/>
          </rPr>
          <t>Tegus:</t>
        </r>
        <r>
          <rPr>
            <sz val="9"/>
            <rFont val="Tahoma"/>
            <family val="2"/>
          </rPr>
          <t xml:space="preserve">
Hardcoded as reported</t>
        </r>
      </text>
    </comment>
    <comment ref="AT383" authorId="0" shapeId="0" xr:uid="{00000000-0006-0000-0100-00002C000000}">
      <text>
        <r>
          <rPr>
            <b/>
            <sz val="9"/>
            <rFont val="Tahoma"/>
            <family val="2"/>
          </rPr>
          <t>Tegus (SL):</t>
        </r>
        <r>
          <rPr>
            <sz val="9"/>
            <rFont val="Tahoma"/>
            <family val="2"/>
          </rPr>
          <t xml:space="preserve">
hardcoded as reported.</t>
        </r>
      </text>
    </comment>
    <comment ref="G420" authorId="0" shapeId="0" xr:uid="{00000000-0006-0000-0100-00002D000000}">
      <text>
        <r>
          <rPr>
            <b/>
            <sz val="9"/>
            <rFont val="Tahoma"/>
            <family val="2"/>
          </rPr>
          <t>Tegus (TW):</t>
        </r>
        <r>
          <rPr>
            <sz val="9"/>
            <rFont val="Tahoma"/>
            <family val="2"/>
          </rPr>
          <t xml:space="preserve">
Rounding: off by 1 cent.</t>
        </r>
      </text>
    </comment>
    <comment ref="AC420" authorId="0" shapeId="0" xr:uid="{00000000-0006-0000-0100-00002E000000}">
      <text>
        <r>
          <rPr>
            <b/>
            <sz val="9"/>
            <rFont val="Tahoma"/>
            <family val="2"/>
          </rPr>
          <t>Tegus (EN):</t>
        </r>
        <r>
          <rPr>
            <sz val="9"/>
            <rFont val="Tahoma"/>
            <family val="2"/>
          </rPr>
          <t xml:space="preserve">
Reported 1.93</t>
        </r>
      </text>
    </comment>
    <comment ref="AF420" authorId="0" shapeId="0" xr:uid="{00000000-0006-0000-0100-00002F000000}">
      <text>
        <r>
          <rPr>
            <b/>
            <sz val="9"/>
            <rFont val="Tahoma"/>
            <family val="2"/>
          </rPr>
          <t>Tegus (SW):</t>
        </r>
        <r>
          <rPr>
            <sz val="9"/>
            <rFont val="Tahoma"/>
            <family val="2"/>
          </rPr>
          <t xml:space="preserve">
reported as 9.37 </t>
        </r>
      </text>
    </comment>
    <comment ref="AH420" authorId="0" shapeId="0" xr:uid="{00000000-0006-0000-0100-000030000000}">
      <text>
        <r>
          <rPr>
            <b/>
            <sz val="9"/>
            <rFont val="Tahoma"/>
            <family val="2"/>
          </rPr>
          <t>Tegus (OG):</t>
        </r>
        <r>
          <rPr>
            <sz val="9"/>
            <rFont val="Tahoma"/>
            <family val="2"/>
          </rPr>
          <t xml:space="preserve">
Reported as $2.11</t>
        </r>
      </text>
    </comment>
    <comment ref="AO420" authorId="0" shapeId="0" xr:uid="{00000000-0006-0000-0100-000031000000}">
      <text>
        <r>
          <rPr>
            <b/>
            <sz val="9"/>
            <rFont val="Tahoma"/>
            <family val="2"/>
          </rPr>
          <t>Tegus (OG):</t>
        </r>
        <r>
          <rPr>
            <sz val="9"/>
            <rFont val="Tahoma"/>
            <family val="2"/>
          </rPr>
          <t xml:space="preserve">
reported as $5.13</t>
        </r>
      </text>
    </comment>
    <comment ref="BG420" authorId="1" shapeId="0" xr:uid="{00000000-0006-0000-0100-000032000000}">
      <text>
        <r>
          <rPr>
            <b/>
            <sz val="9"/>
            <rFont val="Tahoma"/>
            <family val="2"/>
            <charset val="1"/>
          </rPr>
          <t>Tegus (KKR):</t>
        </r>
        <r>
          <rPr>
            <sz val="9"/>
            <rFont val="Tahoma"/>
            <family val="2"/>
            <charset val="1"/>
          </rPr>
          <t xml:space="preserve">
Reported 2.32$</t>
        </r>
      </text>
    </comment>
    <comment ref="E421" authorId="0" shapeId="0" xr:uid="{00000000-0006-0000-0100-000033000000}">
      <text>
        <r>
          <rPr>
            <b/>
            <sz val="9"/>
            <rFont val="Tahoma"/>
            <family val="2"/>
          </rPr>
          <t>Tegus (TW):</t>
        </r>
        <r>
          <rPr>
            <sz val="9"/>
            <rFont val="Tahoma"/>
            <family val="2"/>
          </rPr>
          <t xml:space="preserve">
Rounding: off by 1 cent.</t>
        </r>
      </text>
    </comment>
    <comment ref="I421" authorId="0" shapeId="0" xr:uid="{00000000-0006-0000-0100-000034000000}">
      <text>
        <r>
          <rPr>
            <b/>
            <sz val="9"/>
            <rFont val="Tahoma"/>
            <family val="2"/>
          </rPr>
          <t>Tegus (HN):</t>
        </r>
        <r>
          <rPr>
            <sz val="9"/>
            <rFont val="Tahoma"/>
            <family val="2"/>
          </rPr>
          <t xml:space="preserve">
Reported as $1.95</t>
        </r>
      </text>
    </comment>
    <comment ref="U421" authorId="0" shapeId="0" xr:uid="{00000000-0006-0000-0100-000035000000}">
      <text>
        <r>
          <rPr>
            <b/>
            <sz val="9"/>
            <rFont val="Tahoma"/>
            <family val="2"/>
          </rPr>
          <t>Tegus (HN):</t>
        </r>
        <r>
          <rPr>
            <sz val="9"/>
            <rFont val="Tahoma"/>
            <family val="2"/>
          </rPr>
          <t xml:space="preserve">
Reported as $3.28</t>
        </r>
      </text>
    </comment>
    <comment ref="AJ421" authorId="0" shapeId="0" xr:uid="{00000000-0006-0000-0100-000036000000}">
      <text>
        <r>
          <rPr>
            <b/>
            <sz val="9"/>
            <rFont val="Tahoma"/>
            <family val="2"/>
          </rPr>
          <t>Tegus (ML):</t>
        </r>
        <r>
          <rPr>
            <sz val="9"/>
            <rFont val="Tahoma"/>
            <family val="2"/>
          </rPr>
          <t xml:space="preserve">
Reported as $3.35</t>
        </r>
      </text>
    </comment>
    <comment ref="AO421" authorId="0" shapeId="0" xr:uid="{00000000-0006-0000-0100-000037000000}">
      <text>
        <r>
          <rPr>
            <b/>
            <sz val="9"/>
            <rFont val="Tahoma"/>
            <family val="2"/>
          </rPr>
          <t>Tegus (OG):</t>
        </r>
        <r>
          <rPr>
            <sz val="9"/>
            <rFont val="Tahoma"/>
            <family val="2"/>
          </rPr>
          <t xml:space="preserve">
reported as $5.10</t>
        </r>
      </text>
    </comment>
    <comment ref="AS421" authorId="0" shapeId="0" xr:uid="{00000000-0006-0000-0100-000038000000}">
      <text>
        <r>
          <rPr>
            <b/>
            <sz val="9"/>
            <rFont val="Tahoma"/>
            <family val="2"/>
          </rPr>
          <t>Tegus (HN):</t>
        </r>
        <r>
          <rPr>
            <sz val="9"/>
            <rFont val="Tahoma"/>
            <family val="2"/>
          </rPr>
          <t xml:space="preserve">
Reported as $2.62</t>
        </r>
      </text>
    </comment>
    <comment ref="BD421" authorId="0" shapeId="0" xr:uid="{00000000-0006-0000-0100-000039000000}">
      <text>
        <r>
          <rPr>
            <b/>
            <sz val="9"/>
            <rFont val="Tahoma"/>
            <family val="2"/>
          </rPr>
          <t>Tegus (HN):</t>
        </r>
        <r>
          <rPr>
            <sz val="9"/>
            <rFont val="Tahoma"/>
            <family val="2"/>
          </rPr>
          <t xml:space="preserve">
Reported as $6.99</t>
        </r>
      </text>
    </comment>
    <comment ref="BF421" authorId="0" shapeId="0" xr:uid="{00000000-0006-0000-0100-00003A000000}">
      <text>
        <r>
          <rPr>
            <b/>
            <sz val="9"/>
            <rFont val="Tahoma"/>
            <family val="2"/>
          </rPr>
          <t>Tegus (KuB):</t>
        </r>
        <r>
          <rPr>
            <sz val="9"/>
            <rFont val="Tahoma"/>
            <family val="2"/>
          </rPr>
          <t xml:space="preserve">
Reported as $4.80.</t>
        </r>
      </text>
    </comment>
    <comment ref="S422" authorId="0" shapeId="0" xr:uid="{00000000-0006-0000-0100-00003B000000}">
      <text>
        <r>
          <rPr>
            <b/>
            <sz val="9"/>
            <rFont val="Tahoma"/>
            <family val="2"/>
          </rPr>
          <t>Tegus (HN):</t>
        </r>
        <r>
          <rPr>
            <sz val="9"/>
            <rFont val="Tahoma"/>
            <family val="2"/>
          </rPr>
          <t xml:space="preserve">
Reported as $2.20</t>
        </r>
      </text>
    </comment>
    <comment ref="AN422" authorId="0" shapeId="0" xr:uid="{00000000-0006-0000-0100-00003C000000}">
      <text>
        <r>
          <rPr>
            <b/>
            <sz val="9"/>
            <rFont val="Tahoma"/>
            <family val="2"/>
          </rPr>
          <t>Tegus (OG):</t>
        </r>
        <r>
          <rPr>
            <sz val="9"/>
            <rFont val="Tahoma"/>
            <family val="2"/>
          </rPr>
          <t xml:space="preserve">
reported as $3.12</t>
        </r>
      </text>
    </comment>
    <comment ref="AO422" authorId="0" shapeId="0" xr:uid="{00000000-0006-0000-0100-00003D000000}">
      <text>
        <r>
          <rPr>
            <b/>
            <sz val="9"/>
            <rFont val="Tahoma"/>
            <family val="2"/>
          </rPr>
          <t>Tegus (OG):</t>
        </r>
        <r>
          <rPr>
            <sz val="9"/>
            <rFont val="Tahoma"/>
            <family val="2"/>
          </rPr>
          <t xml:space="preserve">
reported as $4.91</t>
        </r>
      </text>
    </comment>
    <comment ref="AT422" authorId="0" shapeId="0" xr:uid="{00000000-0006-0000-0100-00003E000000}">
      <text>
        <r>
          <rPr>
            <b/>
            <sz val="9"/>
            <rFont val="Tahoma"/>
            <family val="2"/>
          </rPr>
          <t>Tegus (SL):</t>
        </r>
        <r>
          <rPr>
            <sz val="9"/>
            <rFont val="Tahoma"/>
            <family val="2"/>
          </rPr>
          <t xml:space="preserve">
reported as $5.20</t>
        </r>
      </text>
    </comment>
    <comment ref="AV422" authorId="0" shapeId="0" xr:uid="{00000000-0006-0000-0100-00003F000000}">
      <text>
        <r>
          <rPr>
            <b/>
            <sz val="9"/>
            <rFont val="Tahoma"/>
            <family val="2"/>
          </rPr>
          <t>Tegus (HN):</t>
        </r>
        <r>
          <rPr>
            <sz val="9"/>
            <rFont val="Tahoma"/>
            <family val="2"/>
          </rPr>
          <t xml:space="preserve">
Reported as $4.22</t>
        </r>
      </text>
    </comment>
    <comment ref="AW422" authorId="0" shapeId="0" xr:uid="{00000000-0006-0000-0100-000040000000}">
      <text>
        <r>
          <rPr>
            <b/>
            <sz val="9"/>
            <rFont val="Tahoma"/>
            <family val="2"/>
          </rPr>
          <t>Tegus (HN):</t>
        </r>
        <r>
          <rPr>
            <sz val="9"/>
            <rFont val="Tahoma"/>
            <family val="2"/>
          </rPr>
          <t xml:space="preserve">
Reported as $2.57</t>
        </r>
      </text>
    </comment>
    <comment ref="AX422" authorId="0" shapeId="0" xr:uid="{00000000-0006-0000-0100-000041000000}">
      <text>
        <r>
          <rPr>
            <b/>
            <sz val="9"/>
            <rFont val="Tahoma"/>
            <family val="2"/>
          </rPr>
          <t>Tegus (HN):</t>
        </r>
        <r>
          <rPr>
            <sz val="9"/>
            <rFont val="Tahoma"/>
            <family val="2"/>
          </rPr>
          <t xml:space="preserve">
Reported as $2.20</t>
        </r>
      </text>
    </comment>
    <comment ref="AY422" authorId="0" shapeId="0" xr:uid="{00000000-0006-0000-0100-000042000000}">
      <text>
        <r>
          <rPr>
            <b/>
            <sz val="9"/>
            <rFont val="Tahoma"/>
            <family val="2"/>
          </rPr>
          <t>Tegus (SHK):</t>
        </r>
        <r>
          <rPr>
            <sz val="9"/>
            <rFont val="Tahoma"/>
            <family val="2"/>
          </rPr>
          <t xml:space="preserve">
Reported as $ 3.40 </t>
        </r>
      </text>
    </comment>
    <comment ref="BE422" authorId="0" shapeId="0" xr:uid="{00000000-0006-0000-0100-000043000000}">
      <text>
        <r>
          <rPr>
            <b/>
            <sz val="9"/>
            <rFont val="Tahoma"/>
            <family val="2"/>
          </rPr>
          <t>Tegus (KuB):</t>
        </r>
        <r>
          <rPr>
            <sz val="9"/>
            <rFont val="Tahoma"/>
            <family val="2"/>
          </rPr>
          <t xml:space="preserve">
Reported as $13.13.</t>
        </r>
      </text>
    </comment>
    <comment ref="A441" authorId="0" shapeId="0" xr:uid="{00000000-0006-0000-0100-000044000000}">
      <text>
        <r>
          <rPr>
            <b/>
            <sz val="9"/>
            <rFont val="Tahoma"/>
            <family val="2"/>
          </rPr>
          <t>Tegus:</t>
        </r>
        <r>
          <rPr>
            <sz val="9"/>
            <rFont val="Tahoma"/>
            <family val="2"/>
          </rPr>
          <t xml:space="preserve">
In periods where EPS is negative, this amount is calculated using the closest prior period where EPS was positive.</t>
        </r>
      </text>
    </comment>
    <comment ref="A470" authorId="0" shapeId="0" xr:uid="{00000000-0006-0000-0100-000045000000}">
      <text>
        <r>
          <rPr>
            <b/>
            <sz val="9"/>
            <rFont val="Tahoma"/>
            <family val="2"/>
          </rPr>
          <t>Tegus (TW):</t>
        </r>
        <r>
          <rPr>
            <sz val="9"/>
            <rFont val="Tahoma"/>
            <family val="2"/>
          </rPr>
          <t xml:space="preserve">
Book value calculated vs reported could differ by few cents due to shares amount reported in millions (less precise)</t>
        </r>
      </text>
    </comment>
    <comment ref="D470" authorId="0" shapeId="0" xr:uid="{00000000-0006-0000-0100-000046000000}">
      <text>
        <r>
          <rPr>
            <b/>
            <sz val="9"/>
            <rFont val="Tahoma"/>
            <family val="2"/>
          </rPr>
          <t>Tegus (TW):</t>
        </r>
        <r>
          <rPr>
            <sz val="9"/>
            <rFont val="Tahoma"/>
            <family val="2"/>
          </rPr>
          <t xml:space="preserve">
reported as $58.47</t>
        </r>
      </text>
    </comment>
    <comment ref="E470" authorId="0" shapeId="0" xr:uid="{00000000-0006-0000-0100-000047000000}">
      <text>
        <r>
          <rPr>
            <b/>
            <sz val="9"/>
            <rFont val="Tahoma"/>
            <family val="2"/>
          </rPr>
          <t>Tegus (TW):</t>
        </r>
        <r>
          <rPr>
            <sz val="9"/>
            <rFont val="Tahoma"/>
            <family val="2"/>
          </rPr>
          <t xml:space="preserve">
reported as $62.32</t>
        </r>
      </text>
    </comment>
    <comment ref="F470" authorId="0" shapeId="0" xr:uid="{00000000-0006-0000-0100-000048000000}">
      <text>
        <r>
          <rPr>
            <b/>
            <sz val="9"/>
            <rFont val="Tahoma"/>
            <family val="2"/>
          </rPr>
          <t>Tegus (TW):</t>
        </r>
        <r>
          <rPr>
            <sz val="9"/>
            <rFont val="Tahoma"/>
            <family val="2"/>
          </rPr>
          <t xml:space="preserve">
reported as $67.31</t>
        </r>
      </text>
    </comment>
    <comment ref="G470" authorId="0" shapeId="0" xr:uid="{00000000-0006-0000-0100-000049000000}">
      <text>
        <r>
          <rPr>
            <b/>
            <sz val="9"/>
            <rFont val="Tahoma"/>
            <family val="2"/>
          </rPr>
          <t>Tegus (TW):</t>
        </r>
        <r>
          <rPr>
            <sz val="9"/>
            <rFont val="Tahoma"/>
            <family val="2"/>
          </rPr>
          <t xml:space="preserve">
reported as $70.15</t>
        </r>
      </text>
    </comment>
    <comment ref="J470" authorId="0" shapeId="0" xr:uid="{00000000-0006-0000-0100-00004A000000}">
      <text>
        <r>
          <rPr>
            <b/>
            <sz val="9"/>
            <rFont val="Tahoma"/>
            <family val="2"/>
          </rPr>
          <t>Tegus (TW):</t>
        </r>
        <r>
          <rPr>
            <sz val="9"/>
            <rFont val="Tahoma"/>
            <family val="2"/>
          </rPr>
          <t xml:space="preserve">
reported as $76.42</t>
        </r>
      </text>
    </comment>
    <comment ref="S470" authorId="0" shapeId="0" xr:uid="{00000000-0006-0000-0100-00004B000000}">
      <text>
        <r>
          <rPr>
            <b/>
            <sz val="9"/>
            <rFont val="Tahoma"/>
            <family val="2"/>
          </rPr>
          <t>Tegus (TW):</t>
        </r>
        <r>
          <rPr>
            <sz val="9"/>
            <rFont val="Tahoma"/>
            <family val="2"/>
          </rPr>
          <t xml:space="preserve">
reported as $85.73</t>
        </r>
      </text>
    </comment>
    <comment ref="T470" authorId="0" shapeId="0" xr:uid="{00000000-0006-0000-0100-00004C000000}">
      <text>
        <r>
          <rPr>
            <b/>
            <sz val="9"/>
            <rFont val="Tahoma"/>
            <family val="2"/>
          </rPr>
          <t>Tegus (TW):</t>
        </r>
        <r>
          <rPr>
            <sz val="9"/>
            <rFont val="Tahoma"/>
            <family val="2"/>
          </rPr>
          <t xml:space="preserve">
reported as $86.04</t>
        </r>
      </text>
    </comment>
    <comment ref="X470" authorId="0" shapeId="0" xr:uid="{00000000-0006-0000-0100-00004D000000}">
      <text>
        <r>
          <rPr>
            <b/>
            <sz val="9"/>
            <rFont val="Tahoma"/>
            <family val="2"/>
          </rPr>
          <t>Tegus (TW):</t>
        </r>
        <r>
          <rPr>
            <sz val="9"/>
            <rFont val="Tahoma"/>
            <family val="2"/>
          </rPr>
          <t xml:space="preserve">
reported as $86.46</t>
        </r>
      </text>
    </comment>
    <comment ref="AA470" authorId="0" shapeId="0" xr:uid="{00000000-0006-0000-0100-00004E000000}">
      <text>
        <r>
          <rPr>
            <b/>
            <sz val="9"/>
            <rFont val="Tahoma"/>
            <family val="2"/>
          </rPr>
          <t>Tegus (TW):</t>
        </r>
        <r>
          <rPr>
            <sz val="9"/>
            <rFont val="Tahoma"/>
            <family val="2"/>
          </rPr>
          <t xml:space="preserve">
reported as $87.46</t>
        </r>
      </text>
    </comment>
    <comment ref="AB470" authorId="0" shapeId="0" xr:uid="{00000000-0006-0000-0100-00004F000000}">
      <text>
        <r>
          <rPr>
            <b/>
            <sz val="9"/>
            <rFont val="Tahoma"/>
            <family val="2"/>
          </rPr>
          <t>Tegus (RC):</t>
        </r>
        <r>
          <rPr>
            <sz val="9"/>
            <rFont val="Tahoma"/>
            <family val="2"/>
          </rPr>
          <t xml:space="preserve">
$85.03 reported</t>
        </r>
      </text>
    </comment>
    <comment ref="AF470" authorId="0" shapeId="0" xr:uid="{00000000-0006-0000-0100-000050000000}">
      <text>
        <r>
          <rPr>
            <b/>
            <sz val="9"/>
            <rFont val="Tahoma"/>
            <family val="2"/>
          </rPr>
          <t>Tegus (YY):</t>
        </r>
        <r>
          <rPr>
            <sz val="9"/>
            <rFont val="Tahoma"/>
            <family val="2"/>
          </rPr>
          <t xml:space="preserve">
reported as $86.84</t>
        </r>
      </text>
    </comment>
    <comment ref="AH470" authorId="0" shapeId="0" xr:uid="{00000000-0006-0000-0100-000051000000}">
      <text>
        <r>
          <rPr>
            <b/>
            <sz val="9"/>
            <rFont val="Tahoma"/>
            <family val="2"/>
          </rPr>
          <t>Tegus (OG):</t>
        </r>
        <r>
          <rPr>
            <sz val="9"/>
            <rFont val="Tahoma"/>
            <family val="2"/>
          </rPr>
          <t xml:space="preserve">
Reported as $97.26</t>
        </r>
      </text>
    </comment>
    <comment ref="AK470" authorId="0" shapeId="0" xr:uid="{00000000-0006-0000-0100-000052000000}">
      <text>
        <r>
          <rPr>
            <b/>
            <sz val="9"/>
            <rFont val="Tahoma"/>
            <family val="2"/>
          </rPr>
          <t>Tegus (ML):</t>
        </r>
        <r>
          <rPr>
            <sz val="9"/>
            <rFont val="Tahoma"/>
            <family val="2"/>
          </rPr>
          <t xml:space="preserve">
Reported as $101.55</t>
        </r>
      </text>
    </comment>
    <comment ref="AL470" authorId="0" shapeId="0" xr:uid="{00000000-0006-0000-0100-000053000000}">
      <text>
        <r>
          <rPr>
            <b/>
            <sz val="9"/>
            <rFont val="Tahoma"/>
            <family val="2"/>
          </rPr>
          <t>Tegus (OG):</t>
        </r>
        <r>
          <rPr>
            <sz val="9"/>
            <rFont val="Tahoma"/>
            <family val="2"/>
          </rPr>
          <t xml:space="preserve">
reported as $99.69</t>
        </r>
      </text>
    </comment>
    <comment ref="AM470" authorId="0" shapeId="0" xr:uid="{00000000-0006-0000-0100-000054000000}">
      <text>
        <r>
          <rPr>
            <b/>
            <sz val="9"/>
            <rFont val="Tahoma"/>
            <family val="2"/>
          </rPr>
          <t>Tegus (OG):</t>
        </r>
        <r>
          <rPr>
            <sz val="9"/>
            <rFont val="Tahoma"/>
            <family val="2"/>
          </rPr>
          <t xml:space="preserve">
reported as $106.42</t>
        </r>
      </text>
    </comment>
    <comment ref="AO470" authorId="0" shapeId="0" xr:uid="{00000000-0006-0000-0100-000055000000}">
      <text>
        <r>
          <rPr>
            <b/>
            <sz val="9"/>
            <rFont val="Tahoma"/>
            <family val="2"/>
          </rPr>
          <t>Tegus (OG):</t>
        </r>
        <r>
          <rPr>
            <sz val="9"/>
            <rFont val="Tahoma"/>
            <family val="2"/>
          </rPr>
          <t xml:space="preserve">
reported as $115.68</t>
        </r>
      </text>
    </comment>
    <comment ref="AP470" authorId="0" shapeId="0" xr:uid="{00000000-0006-0000-0100-000056000000}">
      <text>
        <r>
          <rPr>
            <b/>
            <sz val="9"/>
            <rFont val="Tahoma"/>
            <family val="2"/>
          </rPr>
          <t>Tegus (OG):</t>
        </r>
        <r>
          <rPr>
            <sz val="9"/>
            <rFont val="Tahoma"/>
            <family val="2"/>
          </rPr>
          <t xml:space="preserve">
reported as $115.68</t>
        </r>
      </text>
    </comment>
    <comment ref="AQ470" authorId="0" shapeId="0" xr:uid="{00000000-0006-0000-0100-000057000000}">
      <text>
        <r>
          <rPr>
            <b/>
            <sz val="9"/>
            <rFont val="Tahoma"/>
            <family val="2"/>
          </rPr>
          <t>Tegus (OG):</t>
        </r>
        <r>
          <rPr>
            <sz val="9"/>
            <rFont val="Tahoma"/>
            <family val="2"/>
          </rPr>
          <t xml:space="preserve">
reported as $112.42</t>
        </r>
      </text>
    </comment>
    <comment ref="AS470" authorId="0" shapeId="0" xr:uid="{00000000-0006-0000-0100-000058000000}">
      <text>
        <r>
          <rPr>
            <b/>
            <sz val="9"/>
            <rFont val="Tahoma"/>
            <family val="2"/>
          </rPr>
          <t>Tegus (HN):</t>
        </r>
        <r>
          <rPr>
            <sz val="9"/>
            <rFont val="Tahoma"/>
            <family val="2"/>
          </rPr>
          <t xml:space="preserve">
Reported as $115.74</t>
        </r>
      </text>
    </comment>
    <comment ref="AT470" authorId="0" shapeId="0" xr:uid="{00000000-0006-0000-0100-000059000000}">
      <text>
        <r>
          <rPr>
            <b/>
            <sz val="9"/>
            <rFont val="Tahoma"/>
            <family val="2"/>
          </rPr>
          <t>Tegus (SL):</t>
        </r>
        <r>
          <rPr>
            <sz val="9"/>
            <rFont val="Tahoma"/>
            <family val="2"/>
          </rPr>
          <t xml:space="preserve">
reported as $119.77</t>
        </r>
      </text>
    </comment>
    <comment ref="AU470" authorId="0" shapeId="0" xr:uid="{00000000-0006-0000-0100-00005A000000}">
      <text>
        <r>
          <rPr>
            <b/>
            <sz val="9"/>
            <rFont val="Tahoma"/>
            <family val="2"/>
          </rPr>
          <t>Tegus (SL):</t>
        </r>
        <r>
          <rPr>
            <sz val="9"/>
            <rFont val="Tahoma"/>
            <family val="2"/>
          </rPr>
          <t xml:space="preserve">
reported as $119.77</t>
        </r>
      </text>
    </comment>
    <comment ref="AV470" authorId="0" shapeId="0" xr:uid="{00000000-0006-0000-0100-00005B000000}">
      <text>
        <r>
          <rPr>
            <b/>
            <sz val="9"/>
            <rFont val="Tahoma"/>
            <family val="2"/>
          </rPr>
          <t>Tegus (HN):</t>
        </r>
        <r>
          <rPr>
            <sz val="9"/>
            <rFont val="Tahoma"/>
            <family val="2"/>
          </rPr>
          <t xml:space="preserve">
Reported as $106.40</t>
        </r>
      </text>
    </comment>
    <comment ref="AX470" authorId="0" shapeId="0" xr:uid="{00000000-0006-0000-0100-00005C000000}">
      <text>
        <r>
          <rPr>
            <b/>
            <sz val="9"/>
            <rFont val="Tahoma"/>
            <family val="2"/>
          </rPr>
          <t>Tegus (HN):</t>
        </r>
        <r>
          <rPr>
            <sz val="9"/>
            <rFont val="Tahoma"/>
            <family val="2"/>
          </rPr>
          <t xml:space="preserve">
Reported as $84.94</t>
        </r>
      </text>
    </comment>
    <comment ref="AY470" authorId="0" shapeId="0" xr:uid="{00000000-0006-0000-0100-00005D000000}">
      <text>
        <r>
          <rPr>
            <b/>
            <sz val="9"/>
            <rFont val="Tahoma"/>
            <family val="2"/>
          </rPr>
          <t>Tegus (SHK):</t>
        </r>
        <r>
          <rPr>
            <sz val="9"/>
            <rFont val="Tahoma"/>
            <family val="2"/>
          </rPr>
          <t xml:space="preserve">
Reported as $ 92.90</t>
        </r>
      </text>
    </comment>
    <comment ref="AZ470" authorId="0" shapeId="0" xr:uid="{00000000-0006-0000-0100-00005E000000}">
      <text>
        <r>
          <rPr>
            <b/>
            <sz val="9"/>
            <rFont val="Tahoma"/>
            <family val="2"/>
          </rPr>
          <t>Tegus (SHK):</t>
        </r>
        <r>
          <rPr>
            <sz val="9"/>
            <rFont val="Tahoma"/>
            <family val="2"/>
          </rPr>
          <t xml:space="preserve">
Reported as $ 92.90</t>
        </r>
      </text>
    </comment>
    <comment ref="BA470" authorId="0" shapeId="0" xr:uid="{00000000-0006-0000-0100-00005F000000}">
      <text>
        <r>
          <rPr>
            <b/>
            <sz val="9"/>
            <rFont val="Tahoma"/>
            <family val="2"/>
          </rPr>
          <t>Tegus (AS):</t>
        </r>
        <r>
          <rPr>
            <sz val="9"/>
            <rFont val="Tahoma"/>
            <family val="2"/>
          </rPr>
          <t xml:space="preserve">
Reported as $99.80</t>
        </r>
      </text>
    </comment>
    <comment ref="BB470" authorId="0" shapeId="0" xr:uid="{00000000-0006-0000-0100-000060000000}">
      <text>
        <r>
          <rPr>
            <b/>
            <sz val="9"/>
            <rFont val="Tahoma"/>
            <family val="2"/>
          </rPr>
          <t>Tegus (FV):</t>
        </r>
        <r>
          <rPr>
            <sz val="9"/>
            <rFont val="Tahoma"/>
            <family val="2"/>
          </rPr>
          <t xml:space="preserve">
Reported as $95.46</t>
        </r>
      </text>
    </comment>
    <comment ref="BD470" authorId="0" shapeId="0" xr:uid="{00000000-0006-0000-0100-000061000000}">
      <text>
        <r>
          <rPr>
            <b/>
            <sz val="9"/>
            <rFont val="Tahoma"/>
            <family val="2"/>
          </rPr>
          <t>Tegus (KuB):</t>
        </r>
        <r>
          <rPr>
            <sz val="9"/>
            <rFont val="Tahoma"/>
            <family val="2"/>
          </rPr>
          <t xml:space="preserve">
Reported as $109.19.</t>
        </r>
      </text>
    </comment>
    <comment ref="BE470" authorId="0" shapeId="0" xr:uid="{00000000-0006-0000-0100-000062000000}">
      <text>
        <r>
          <rPr>
            <b/>
            <sz val="9"/>
            <rFont val="Tahoma"/>
            <family val="2"/>
          </rPr>
          <t>Tegus (KuB):</t>
        </r>
        <r>
          <rPr>
            <sz val="9"/>
            <rFont val="Tahoma"/>
            <family val="2"/>
          </rPr>
          <t xml:space="preserve">
Reported as $109.19.</t>
        </r>
      </text>
    </comment>
    <comment ref="BF470" authorId="0" shapeId="0" xr:uid="{00000000-0006-0000-0100-000063000000}">
      <text>
        <r>
          <rPr>
            <b/>
            <sz val="9"/>
            <rFont val="Tahoma"/>
            <family val="2"/>
          </rPr>
          <t>Tegus (KuB):</t>
        </r>
        <r>
          <rPr>
            <sz val="9"/>
            <rFont val="Tahoma"/>
            <family val="2"/>
          </rPr>
          <t xml:space="preserve">
Reported as $109.28.</t>
        </r>
      </text>
    </comment>
    <comment ref="BG470" authorId="1" shapeId="0" xr:uid="{00000000-0006-0000-0100-000064000000}">
      <text>
        <r>
          <rPr>
            <b/>
            <sz val="9"/>
            <rFont val="Tahoma"/>
            <family val="2"/>
            <charset val="1"/>
          </rPr>
          <t>Tegus (KKR):</t>
        </r>
        <r>
          <rPr>
            <sz val="9"/>
            <rFont val="Tahoma"/>
            <family val="2"/>
            <charset val="1"/>
          </rPr>
          <t xml:space="preserve">
Reported 109.08$</t>
        </r>
      </text>
    </comment>
    <comment ref="BH470" authorId="2" shapeId="0" xr:uid="{92C8A6B9-235F-4707-990A-3BEE07A23D64}">
      <text>
        <r>
          <rPr>
            <b/>
            <sz val="9"/>
            <rFont val="Tahoma"/>
            <family val="2"/>
            <charset val="1"/>
          </rPr>
          <t>Tegus (KuB):</t>
        </r>
        <r>
          <rPr>
            <sz val="9"/>
            <rFont val="Tahoma"/>
            <family val="2"/>
            <charset val="1"/>
          </rPr>
          <t xml:space="preserve">
Reported as $122.00</t>
        </r>
      </text>
    </comment>
    <comment ref="A472" authorId="0" shapeId="0" xr:uid="{00000000-0006-0000-0100-000065000000}">
      <text>
        <r>
          <rPr>
            <b/>
            <sz val="9"/>
            <rFont val="Tahoma"/>
            <family val="2"/>
          </rPr>
          <t>Tegus (TW):</t>
        </r>
        <r>
          <rPr>
            <sz val="9"/>
            <rFont val="Tahoma"/>
            <family val="2"/>
          </rPr>
          <t xml:space="preserve">
Book value calculated vs reported could differ by few cents due to shares amount reported in millions (less precise)</t>
        </r>
      </text>
    </comment>
    <comment ref="D472" authorId="0" shapeId="0" xr:uid="{00000000-0006-0000-0100-000066000000}">
      <text>
        <r>
          <rPr>
            <b/>
            <sz val="9"/>
            <rFont val="Tahoma"/>
            <family val="2"/>
          </rPr>
          <t>Tegus (TW):</t>
        </r>
        <r>
          <rPr>
            <sz val="9"/>
            <rFont val="Tahoma"/>
            <family val="2"/>
          </rPr>
          <t xml:space="preserve">
reported as $54.19</t>
        </r>
      </text>
    </comment>
    <comment ref="G472" authorId="0" shapeId="0" xr:uid="{00000000-0006-0000-0100-000067000000}">
      <text>
        <r>
          <rPr>
            <b/>
            <sz val="9"/>
            <rFont val="Tahoma"/>
            <family val="2"/>
          </rPr>
          <t>Tegus (TW):</t>
        </r>
        <r>
          <rPr>
            <sz val="9"/>
            <rFont val="Tahoma"/>
            <family val="2"/>
          </rPr>
          <t xml:space="preserve">
reported as $66.41</t>
        </r>
      </text>
    </comment>
    <comment ref="H472" authorId="0" shapeId="0" xr:uid="{00000000-0006-0000-0100-000068000000}">
      <text>
        <r>
          <rPr>
            <b/>
            <sz val="9"/>
            <rFont val="Tahoma"/>
            <family val="2"/>
          </rPr>
          <t>Tegus (TW):</t>
        </r>
        <r>
          <rPr>
            <sz val="9"/>
            <rFont val="Tahoma"/>
            <family val="2"/>
          </rPr>
          <t xml:space="preserve">
reported as $68.25</t>
        </r>
      </text>
    </comment>
    <comment ref="J472" authorId="0" shapeId="0" xr:uid="{00000000-0006-0000-0100-000069000000}">
      <text>
        <r>
          <rPr>
            <b/>
            <sz val="9"/>
            <rFont val="Tahoma"/>
            <family val="2"/>
          </rPr>
          <t>Tegus (TW):</t>
        </r>
        <r>
          <rPr>
            <sz val="9"/>
            <rFont val="Tahoma"/>
            <family val="2"/>
          </rPr>
          <t xml:space="preserve">
reported as $70.64</t>
        </r>
      </text>
    </comment>
    <comment ref="O472" authorId="0" shapeId="0" xr:uid="{00000000-0006-0000-0100-00006A000000}">
      <text>
        <r>
          <rPr>
            <b/>
            <sz val="9"/>
            <rFont val="Tahoma"/>
            <family val="2"/>
          </rPr>
          <t>Tegus (TW):</t>
        </r>
        <r>
          <rPr>
            <sz val="9"/>
            <rFont val="Tahoma"/>
            <family val="2"/>
          </rPr>
          <t xml:space="preserve">
reported as $74.35</t>
        </r>
      </text>
    </comment>
    <comment ref="S472" authorId="0" shapeId="0" xr:uid="{00000000-0006-0000-0100-00006B000000}">
      <text>
        <r>
          <rPr>
            <b/>
            <sz val="9"/>
            <rFont val="Tahoma"/>
            <family val="2"/>
          </rPr>
          <t>Tegus (TW):</t>
        </r>
        <r>
          <rPr>
            <sz val="9"/>
            <rFont val="Tahoma"/>
            <family val="2"/>
          </rPr>
          <t xml:space="preserve">
reported as $77.61</t>
        </r>
      </text>
    </comment>
    <comment ref="T472" authorId="0" shapeId="0" xr:uid="{00000000-0006-0000-0100-00006C000000}">
      <text>
        <r>
          <rPr>
            <b/>
            <sz val="9"/>
            <rFont val="Tahoma"/>
            <family val="2"/>
          </rPr>
          <t>Tegus (TW):</t>
        </r>
        <r>
          <rPr>
            <sz val="9"/>
            <rFont val="Tahoma"/>
            <family val="2"/>
          </rPr>
          <t xml:space="preserve">
reported as $78.82</t>
        </r>
      </text>
    </comment>
    <comment ref="X472" authorId="0" shapeId="0" xr:uid="{00000000-0006-0000-0100-00006D000000}">
      <text>
        <r>
          <rPr>
            <b/>
            <sz val="9"/>
            <rFont val="Tahoma"/>
            <family val="2"/>
          </rPr>
          <t>Tegus (TW):</t>
        </r>
        <r>
          <rPr>
            <sz val="9"/>
            <rFont val="Tahoma"/>
            <family val="2"/>
          </rPr>
          <t xml:space="preserve">
reported as $82.71</t>
        </r>
      </text>
    </comment>
    <comment ref="Y472" authorId="0" shapeId="0" xr:uid="{00000000-0006-0000-0100-00006E000000}">
      <text>
        <r>
          <rPr>
            <b/>
            <sz val="9"/>
            <rFont val="Tahoma"/>
            <family val="2"/>
          </rPr>
          <t>Tegus (TW):</t>
        </r>
        <r>
          <rPr>
            <sz val="9"/>
            <rFont val="Tahoma"/>
            <family val="2"/>
          </rPr>
          <t xml:space="preserve">
reported as $83.06</t>
        </r>
      </text>
    </comment>
    <comment ref="AA472" authorId="0" shapeId="0" xr:uid="{00000000-0006-0000-0100-00006F000000}">
      <text>
        <r>
          <rPr>
            <b/>
            <sz val="9"/>
            <rFont val="Tahoma"/>
            <family val="2"/>
          </rPr>
          <t>Tegus (TW):</t>
        </r>
        <r>
          <rPr>
            <sz val="9"/>
            <rFont val="Tahoma"/>
            <family val="2"/>
          </rPr>
          <t xml:space="preserve">
reported as $83.36</t>
        </r>
      </text>
    </comment>
    <comment ref="AB472" authorId="0" shapeId="0" xr:uid="{00000000-0006-0000-0100-000070000000}">
      <text>
        <r>
          <rPr>
            <b/>
            <sz val="9"/>
            <rFont val="Tahoma"/>
            <family val="2"/>
          </rPr>
          <t>Tegus (RC):</t>
        </r>
        <r>
          <rPr>
            <sz val="9"/>
            <rFont val="Tahoma"/>
            <family val="2"/>
          </rPr>
          <t xml:space="preserve">
84.54 reported</t>
        </r>
      </text>
    </comment>
    <comment ref="AH472" authorId="0" shapeId="0" xr:uid="{00000000-0006-0000-0100-000071000000}">
      <text>
        <r>
          <rPr>
            <b/>
            <sz val="9"/>
            <rFont val="Tahoma"/>
            <family val="2"/>
          </rPr>
          <t>Tegus (OG):</t>
        </r>
        <r>
          <rPr>
            <sz val="9"/>
            <rFont val="Tahoma"/>
            <family val="2"/>
          </rPr>
          <t xml:space="preserve">
Reported as $90.05</t>
        </r>
      </text>
    </comment>
    <comment ref="AK472" authorId="0" shapeId="0" xr:uid="{00000000-0006-0000-0100-000072000000}">
      <text>
        <r>
          <rPr>
            <b/>
            <sz val="9"/>
            <rFont val="Tahoma"/>
            <family val="2"/>
          </rPr>
          <t>Tegus (ML):</t>
        </r>
        <r>
          <rPr>
            <sz val="9"/>
            <rFont val="Tahoma"/>
            <family val="2"/>
          </rPr>
          <t xml:space="preserve">
Reported as $92.76</t>
        </r>
      </text>
    </comment>
    <comment ref="AL472" authorId="0" shapeId="0" xr:uid="{00000000-0006-0000-0100-000073000000}">
      <text>
        <r>
          <rPr>
            <b/>
            <sz val="9"/>
            <rFont val="Tahoma"/>
            <family val="2"/>
          </rPr>
          <t>Tegus (OG):</t>
        </r>
        <r>
          <rPr>
            <sz val="9"/>
            <rFont val="Tahoma"/>
            <family val="2"/>
          </rPr>
          <t xml:space="preserve">
Reported as $92.63</t>
        </r>
      </text>
    </comment>
    <comment ref="AN472" authorId="0" shapeId="0" xr:uid="{00000000-0006-0000-0100-000074000000}">
      <text>
        <r>
          <rPr>
            <b/>
            <sz val="9"/>
            <rFont val="Tahoma"/>
            <family val="2"/>
          </rPr>
          <t>Tegus (OG):</t>
        </r>
        <r>
          <rPr>
            <sz val="9"/>
            <rFont val="Tahoma"/>
            <family val="2"/>
          </rPr>
          <t xml:space="preserve">
reported as $94.89</t>
        </r>
      </text>
    </comment>
    <comment ref="AO472" authorId="0" shapeId="0" xr:uid="{00000000-0006-0000-0100-000075000000}">
      <text>
        <r>
          <rPr>
            <b/>
            <sz val="9"/>
            <rFont val="Tahoma"/>
            <family val="2"/>
          </rPr>
          <t>Tegus (OG):</t>
        </r>
        <r>
          <rPr>
            <sz val="9"/>
            <rFont val="Tahoma"/>
            <family val="2"/>
          </rPr>
          <t xml:space="preserve">
reported as $99.54</t>
        </r>
      </text>
    </comment>
    <comment ref="AP472" authorId="0" shapeId="0" xr:uid="{00000000-0006-0000-0100-000076000000}">
      <text>
        <r>
          <rPr>
            <b/>
            <sz val="9"/>
            <rFont val="Tahoma"/>
            <family val="2"/>
          </rPr>
          <t>Tegus (OG):</t>
        </r>
        <r>
          <rPr>
            <sz val="9"/>
            <rFont val="Tahoma"/>
            <family val="2"/>
          </rPr>
          <t xml:space="preserve">
reported as $99.54</t>
        </r>
      </text>
    </comment>
    <comment ref="AQ472" authorId="0" shapeId="0" xr:uid="{00000000-0006-0000-0100-000077000000}">
      <text>
        <r>
          <rPr>
            <b/>
            <sz val="9"/>
            <rFont val="Tahoma"/>
            <family val="2"/>
          </rPr>
          <t>Tegus (OG):</t>
        </r>
        <r>
          <rPr>
            <sz val="9"/>
            <rFont val="Tahoma"/>
            <family val="2"/>
          </rPr>
          <t xml:space="preserve">
reported as $101.21</t>
        </r>
      </text>
    </comment>
    <comment ref="AS472" authorId="0" shapeId="0" xr:uid="{00000000-0006-0000-0100-000078000000}">
      <text>
        <r>
          <rPr>
            <b/>
            <sz val="9"/>
            <rFont val="Tahoma"/>
            <family val="2"/>
          </rPr>
          <t>Tegus (HN):</t>
        </r>
        <r>
          <rPr>
            <sz val="9"/>
            <rFont val="Tahoma"/>
            <family val="2"/>
          </rPr>
          <t xml:space="preserve">
Reported as $104.77</t>
        </r>
      </text>
    </comment>
    <comment ref="AT472" authorId="0" shapeId="0" xr:uid="{00000000-0006-0000-0100-000079000000}">
      <text>
        <r>
          <rPr>
            <b/>
            <sz val="9"/>
            <rFont val="Tahoma"/>
            <family val="2"/>
          </rPr>
          <t>Tegus (SL):</t>
        </r>
        <r>
          <rPr>
            <sz val="9"/>
            <rFont val="Tahoma"/>
            <family val="2"/>
          </rPr>
          <t xml:space="preserve">
reported as $109.76</t>
        </r>
      </text>
    </comment>
    <comment ref="AU472" authorId="0" shapeId="0" xr:uid="{00000000-0006-0000-0100-00007A000000}">
      <text>
        <r>
          <rPr>
            <b/>
            <sz val="9"/>
            <rFont val="Tahoma"/>
            <family val="2"/>
          </rPr>
          <t>Tegus (SL):</t>
        </r>
        <r>
          <rPr>
            <sz val="9"/>
            <rFont val="Tahoma"/>
            <family val="2"/>
          </rPr>
          <t xml:space="preserve">
reported as $109.76</t>
        </r>
      </text>
    </comment>
    <comment ref="AV472" authorId="0" shapeId="0" xr:uid="{00000000-0006-0000-0100-00007B000000}">
      <text>
        <r>
          <rPr>
            <b/>
            <sz val="9"/>
            <rFont val="Tahoma"/>
            <family val="2"/>
          </rPr>
          <t>Tegus (HN):</t>
        </r>
        <r>
          <rPr>
            <sz val="9"/>
            <rFont val="Tahoma"/>
            <family val="2"/>
          </rPr>
          <t xml:space="preserve">
Reported as $112.19</t>
        </r>
      </text>
    </comment>
    <comment ref="AX472" authorId="0" shapeId="0" xr:uid="{00000000-0006-0000-0100-00007C000000}">
      <text>
        <r>
          <rPr>
            <b/>
            <sz val="9"/>
            <rFont val="Tahoma"/>
            <family val="2"/>
          </rPr>
          <t>Tegus (HN):</t>
        </r>
        <r>
          <rPr>
            <sz val="9"/>
            <rFont val="Tahoma"/>
            <family val="2"/>
          </rPr>
          <t xml:space="preserve">
Reported as $111.90</t>
        </r>
      </text>
    </comment>
    <comment ref="AY472" authorId="0" shapeId="0" xr:uid="{00000000-0006-0000-0100-00007D000000}">
      <text>
        <r>
          <rPr>
            <b/>
            <sz val="9"/>
            <rFont val="Tahoma"/>
            <family val="2"/>
          </rPr>
          <t>Tegus (ArS):</t>
        </r>
        <r>
          <rPr>
            <sz val="9"/>
            <rFont val="Tahoma"/>
            <family val="2"/>
          </rPr>
          <t xml:space="preserve">
Reported as $114.0</t>
        </r>
      </text>
    </comment>
    <comment ref="AZ472" authorId="0" shapeId="0" xr:uid="{00000000-0006-0000-0100-00007E000000}">
      <text>
        <r>
          <rPr>
            <b/>
            <sz val="9"/>
            <rFont val="Tahoma"/>
            <family val="2"/>
          </rPr>
          <t>Tegus (ArS):</t>
        </r>
        <r>
          <rPr>
            <sz val="9"/>
            <rFont val="Tahoma"/>
            <family val="2"/>
          </rPr>
          <t xml:space="preserve">
Reported as $114.0</t>
        </r>
      </text>
    </comment>
    <comment ref="BA472" authorId="0" shapeId="0" xr:uid="{00000000-0006-0000-0100-00007F000000}">
      <text>
        <r>
          <rPr>
            <b/>
            <sz val="9"/>
            <rFont val="Tahoma"/>
            <family val="2"/>
          </rPr>
          <t>Tegus (AS):</t>
        </r>
        <r>
          <rPr>
            <sz val="9"/>
            <rFont val="Tahoma"/>
            <family val="2"/>
          </rPr>
          <t xml:space="preserve">
Reported as $116.55</t>
        </r>
      </text>
    </comment>
    <comment ref="BB472" authorId="0" shapeId="0" xr:uid="{00000000-0006-0000-0100-000080000000}">
      <text>
        <r>
          <rPr>
            <b/>
            <sz val="9"/>
            <rFont val="Tahoma"/>
            <family val="2"/>
          </rPr>
          <t>Tegus (FV):</t>
        </r>
        <r>
          <rPr>
            <sz val="9"/>
            <rFont val="Tahoma"/>
            <family val="2"/>
          </rPr>
          <t xml:space="preserve">
Reported as $115.45</t>
        </r>
      </text>
    </comment>
    <comment ref="BD472" authorId="0" shapeId="0" xr:uid="{00000000-0006-0000-0100-000081000000}">
      <text>
        <r>
          <rPr>
            <b/>
            <sz val="9"/>
            <rFont val="Tahoma"/>
            <family val="2"/>
          </rPr>
          <t>Tegus (KuB):</t>
        </r>
        <r>
          <rPr>
            <sz val="9"/>
            <rFont val="Tahoma"/>
            <family val="2"/>
          </rPr>
          <t xml:space="preserve">
Reported as $122.90.</t>
        </r>
      </text>
    </comment>
    <comment ref="BE472" authorId="0" shapeId="0" xr:uid="{00000000-0006-0000-0100-000082000000}">
      <text>
        <r>
          <rPr>
            <b/>
            <sz val="9"/>
            <rFont val="Tahoma"/>
            <family val="2"/>
          </rPr>
          <t>Tegus (KuB):</t>
        </r>
        <r>
          <rPr>
            <sz val="9"/>
            <rFont val="Tahoma"/>
            <family val="2"/>
          </rPr>
          <t xml:space="preserve">
Reported as $122.90.</t>
        </r>
      </text>
    </comment>
    <comment ref="BF472" authorId="0" shapeId="0" xr:uid="{00000000-0006-0000-0100-000083000000}">
      <text>
        <r>
          <rPr>
            <b/>
            <sz val="9"/>
            <rFont val="Tahoma"/>
            <family val="2"/>
          </rPr>
          <t>Tegus (KuB):</t>
        </r>
        <r>
          <rPr>
            <sz val="9"/>
            <rFont val="Tahoma"/>
            <family val="2"/>
          </rPr>
          <t xml:space="preserve">
Reported as $125.53.</t>
        </r>
      </text>
    </comment>
    <comment ref="BG472" authorId="1" shapeId="0" xr:uid="{00000000-0006-0000-0100-000084000000}">
      <text>
        <r>
          <rPr>
            <b/>
            <sz val="9"/>
            <rFont val="Tahoma"/>
            <family val="2"/>
            <charset val="1"/>
          </rPr>
          <t>Tegus (KKR):</t>
        </r>
        <r>
          <rPr>
            <sz val="9"/>
            <rFont val="Tahoma"/>
            <family val="2"/>
            <charset val="1"/>
          </rPr>
          <t xml:space="preserve">
Reported 126.52$</t>
        </r>
      </text>
    </comment>
    <comment ref="BH472" authorId="2" shapeId="0" xr:uid="{8864EB2D-ADF3-42C1-B9D3-1396D7F523AA}">
      <text>
        <r>
          <rPr>
            <b/>
            <sz val="9"/>
            <rFont val="Tahoma"/>
            <family val="2"/>
            <charset val="1"/>
          </rPr>
          <t>Tegus (KuB):</t>
        </r>
        <r>
          <rPr>
            <sz val="9"/>
            <rFont val="Tahoma"/>
            <family val="2"/>
            <charset val="1"/>
          </rPr>
          <t xml:space="preserve">
Reported as $131.30.</t>
        </r>
      </text>
    </comment>
    <comment ref="A473" authorId="0" shapeId="0" xr:uid="{00000000-0006-0000-0100-000085000000}">
      <text>
        <r>
          <rPr>
            <b/>
            <sz val="9"/>
            <rFont val="Tahoma"/>
            <family val="2"/>
          </rPr>
          <t>Tegus (TW):</t>
        </r>
        <r>
          <rPr>
            <sz val="9"/>
            <rFont val="Tahoma"/>
            <family val="2"/>
          </rPr>
          <t xml:space="preserve">
Book value calculated vs reported could differ by few cents due to shares amount reported in millions (less precise)</t>
        </r>
      </text>
    </comment>
    <comment ref="D473" authorId="0" shapeId="0" xr:uid="{00000000-0006-0000-0100-000086000000}">
      <text>
        <r>
          <rPr>
            <b/>
            <sz val="9"/>
            <rFont val="Tahoma"/>
            <family val="2"/>
          </rPr>
          <t>Tegus (TW):</t>
        </r>
        <r>
          <rPr>
            <sz val="9"/>
            <rFont val="Tahoma"/>
            <family val="2"/>
          </rPr>
          <t xml:space="preserve">
reported as $45.42</t>
        </r>
      </text>
    </comment>
    <comment ref="F473" authorId="0" shapeId="0" xr:uid="{00000000-0006-0000-0100-000087000000}">
      <text>
        <r>
          <rPr>
            <b/>
            <sz val="9"/>
            <rFont val="Tahoma"/>
            <family val="2"/>
          </rPr>
          <t>Tegus (TW):</t>
        </r>
        <r>
          <rPr>
            <sz val="9"/>
            <rFont val="Tahoma"/>
            <family val="2"/>
          </rPr>
          <t xml:space="preserve">
reported as $49.29</t>
        </r>
      </text>
    </comment>
    <comment ref="G473" authorId="0" shapeId="0" xr:uid="{00000000-0006-0000-0100-000088000000}">
      <text>
        <r>
          <rPr>
            <b/>
            <sz val="9"/>
            <rFont val="Tahoma"/>
            <family val="2"/>
          </rPr>
          <t>Tegus (TW):</t>
        </r>
        <r>
          <rPr>
            <sz val="9"/>
            <rFont val="Tahoma"/>
            <family val="2"/>
          </rPr>
          <t xml:space="preserve">
reported as $55.29</t>
        </r>
      </text>
    </comment>
    <comment ref="H473" authorId="0" shapeId="0" xr:uid="{00000000-0006-0000-0100-000089000000}">
      <text>
        <r>
          <rPr>
            <b/>
            <sz val="9"/>
            <rFont val="Tahoma"/>
            <family val="2"/>
          </rPr>
          <t>Tegus (TW):</t>
        </r>
        <r>
          <rPr>
            <sz val="9"/>
            <rFont val="Tahoma"/>
            <family val="2"/>
          </rPr>
          <t xml:space="preserve">
reported as $57.00</t>
        </r>
      </text>
    </comment>
    <comment ref="J473" authorId="0" shapeId="0" xr:uid="{00000000-0006-0000-0100-00008A000000}">
      <text>
        <r>
          <rPr>
            <b/>
            <sz val="9"/>
            <rFont val="Tahoma"/>
            <family val="2"/>
          </rPr>
          <t>Tegus (TW):</t>
        </r>
        <r>
          <rPr>
            <sz val="9"/>
            <rFont val="Tahoma"/>
            <family val="2"/>
          </rPr>
          <t xml:space="preserve">
reported as $58.93</t>
        </r>
      </text>
    </comment>
    <comment ref="S473" authorId="0" shapeId="0" xr:uid="{00000000-0006-0000-0100-00008B000000}">
      <text>
        <r>
          <rPr>
            <b/>
            <sz val="9"/>
            <rFont val="Tahoma"/>
            <family val="2"/>
          </rPr>
          <t>Tegus (TW):</t>
        </r>
        <r>
          <rPr>
            <sz val="9"/>
            <rFont val="Tahoma"/>
            <family val="2"/>
          </rPr>
          <t xml:space="preserve">
reported as $64.43</t>
        </r>
      </text>
    </comment>
    <comment ref="T473" authorId="0" shapeId="0" xr:uid="{00000000-0006-0000-0100-00008C000000}">
      <text>
        <r>
          <rPr>
            <b/>
            <sz val="9"/>
            <rFont val="Tahoma"/>
            <family val="2"/>
          </rPr>
          <t>Tegus (TW):</t>
        </r>
        <r>
          <rPr>
            <sz val="9"/>
            <rFont val="Tahoma"/>
            <family val="2"/>
          </rPr>
          <t xml:space="preserve">
reported as $65.47</t>
        </r>
      </text>
    </comment>
    <comment ref="X473" authorId="0" shapeId="0" xr:uid="{00000000-0006-0000-0100-00008D000000}">
      <text>
        <r>
          <rPr>
            <b/>
            <sz val="9"/>
            <rFont val="Tahoma"/>
            <family val="2"/>
          </rPr>
          <t>Tegus (TW):</t>
        </r>
        <r>
          <rPr>
            <sz val="9"/>
            <rFont val="Tahoma"/>
            <family val="2"/>
          </rPr>
          <t xml:space="preserve">
reported as $68.99</t>
        </r>
      </text>
    </comment>
    <comment ref="Y473" authorId="0" shapeId="0" xr:uid="{00000000-0006-0000-0100-00008E000000}">
      <text>
        <r>
          <rPr>
            <b/>
            <sz val="9"/>
            <rFont val="Tahoma"/>
            <family val="2"/>
          </rPr>
          <t>Tegus (TW):</t>
        </r>
        <r>
          <rPr>
            <sz val="9"/>
            <rFont val="Tahoma"/>
            <family val="2"/>
          </rPr>
          <t xml:space="preserve">
matches reported</t>
        </r>
      </text>
    </comment>
    <comment ref="AA473" authorId="0" shapeId="0" xr:uid="{00000000-0006-0000-0100-00008F000000}">
      <text>
        <r>
          <rPr>
            <b/>
            <sz val="9"/>
            <rFont val="Tahoma"/>
            <family val="2"/>
          </rPr>
          <t>Tegus (TW):</t>
        </r>
        <r>
          <rPr>
            <sz val="9"/>
            <rFont val="Tahoma"/>
            <family val="2"/>
          </rPr>
          <t xml:space="preserve">
reported as $67.70</t>
        </r>
      </text>
    </comment>
    <comment ref="AB473" authorId="0" shapeId="0" xr:uid="{00000000-0006-0000-0100-000090000000}">
      <text>
        <r>
          <rPr>
            <b/>
            <sz val="9"/>
            <rFont val="Tahoma"/>
            <family val="2"/>
          </rPr>
          <t>Tegus (RC):</t>
        </r>
        <r>
          <rPr>
            <sz val="9"/>
            <rFont val="Tahoma"/>
            <family val="2"/>
          </rPr>
          <t xml:space="preserve">
68.81 reported</t>
        </r>
      </text>
    </comment>
    <comment ref="AC473" authorId="0" shapeId="0" xr:uid="{00000000-0006-0000-0100-000091000000}">
      <text>
        <r>
          <rPr>
            <b/>
            <sz val="9"/>
            <rFont val="Tahoma"/>
            <family val="2"/>
          </rPr>
          <t>Tegus (BZ):</t>
        </r>
        <r>
          <rPr>
            <sz val="9"/>
            <rFont val="Tahoma"/>
            <family val="2"/>
          </rPr>
          <t xml:space="preserve">
Reported as $69.08</t>
        </r>
      </text>
    </comment>
    <comment ref="AG473" authorId="0" shapeId="0" xr:uid="{00000000-0006-0000-0100-000092000000}">
      <text>
        <r>
          <rPr>
            <b/>
            <sz val="9"/>
            <rFont val="Tahoma"/>
            <family val="2"/>
          </rPr>
          <t>Tegus (NQ):</t>
        </r>
        <r>
          <rPr>
            <sz val="9"/>
            <rFont val="Tahoma"/>
            <family val="2"/>
          </rPr>
          <t xml:space="preserve">
Reported as $72.89</t>
        </r>
      </text>
    </comment>
    <comment ref="AH473" authorId="0" shapeId="0" xr:uid="{00000000-0006-0000-0100-000093000000}">
      <text>
        <r>
          <rPr>
            <b/>
            <sz val="9"/>
            <rFont val="Tahoma"/>
            <family val="2"/>
          </rPr>
          <t>Tegus (OG):</t>
        </r>
        <r>
          <rPr>
            <sz val="9"/>
            <rFont val="Tahoma"/>
            <family val="2"/>
          </rPr>
          <t xml:space="preserve">
Reported as $73.79</t>
        </r>
      </text>
    </comment>
    <comment ref="AI473" authorId="0" shapeId="0" xr:uid="{00000000-0006-0000-0100-000094000000}">
      <text>
        <r>
          <rPr>
            <b/>
            <sz val="9"/>
            <rFont val="Tahoma"/>
            <family val="2"/>
          </rPr>
          <t>Tegus (NQ):</t>
        </r>
        <r>
          <rPr>
            <sz val="9"/>
            <rFont val="Tahoma"/>
            <family val="2"/>
          </rPr>
          <t xml:space="preserve">
Reported as $73.76</t>
        </r>
      </text>
    </comment>
    <comment ref="AK473" authorId="0" shapeId="0" xr:uid="{00000000-0006-0000-0100-000095000000}">
      <text>
        <r>
          <rPr>
            <b/>
            <sz val="9"/>
            <rFont val="Tahoma"/>
            <family val="2"/>
          </rPr>
          <t>Tegus (ML):</t>
        </r>
        <r>
          <rPr>
            <sz val="9"/>
            <rFont val="Tahoma"/>
            <family val="2"/>
          </rPr>
          <t xml:space="preserve">
Reported as $76.17</t>
        </r>
      </text>
    </comment>
    <comment ref="AM473" authorId="0" shapeId="0" xr:uid="{00000000-0006-0000-0100-000096000000}">
      <text>
        <r>
          <rPr>
            <b/>
            <sz val="9"/>
            <rFont val="Tahoma"/>
            <family val="2"/>
          </rPr>
          <t>Tegus (OG):</t>
        </r>
        <r>
          <rPr>
            <sz val="9"/>
            <rFont val="Tahoma"/>
            <family val="2"/>
          </rPr>
          <t xml:space="preserve">
reported as $75.45</t>
        </r>
      </text>
    </comment>
    <comment ref="AO473" authorId="0" shapeId="0" xr:uid="{00000000-0006-0000-0100-000097000000}">
      <text>
        <r>
          <rPr>
            <b/>
            <sz val="9"/>
            <rFont val="Tahoma"/>
            <family val="2"/>
          </rPr>
          <t>Tegus (OG):</t>
        </r>
        <r>
          <rPr>
            <sz val="9"/>
            <rFont val="Tahoma"/>
            <family val="2"/>
          </rPr>
          <t xml:space="preserve">
reported as $82.77</t>
        </r>
      </text>
    </comment>
    <comment ref="AP473" authorId="0" shapeId="0" xr:uid="{00000000-0006-0000-0100-000098000000}">
      <text>
        <r>
          <rPr>
            <b/>
            <sz val="9"/>
            <rFont val="Tahoma"/>
            <family val="2"/>
          </rPr>
          <t>Tegus (OG):</t>
        </r>
        <r>
          <rPr>
            <sz val="9"/>
            <rFont val="Tahoma"/>
            <family val="2"/>
          </rPr>
          <t xml:space="preserve">
reported as $82.77</t>
        </r>
      </text>
    </comment>
    <comment ref="AQ473" authorId="0" shapeId="0" xr:uid="{00000000-0006-0000-0100-000099000000}">
      <text>
        <r>
          <rPr>
            <b/>
            <sz val="9"/>
            <rFont val="Tahoma"/>
            <family val="2"/>
          </rPr>
          <t>Tegus (OG):</t>
        </r>
        <r>
          <rPr>
            <sz val="9"/>
            <rFont val="Tahoma"/>
            <family val="2"/>
          </rPr>
          <t xml:space="preserve">
reported as $84.23</t>
        </r>
      </text>
    </comment>
    <comment ref="AS473" authorId="0" shapeId="0" xr:uid="{00000000-0006-0000-0100-00009A000000}">
      <text>
        <r>
          <rPr>
            <b/>
            <sz val="9"/>
            <rFont val="Tahoma"/>
            <family val="2"/>
          </rPr>
          <t>Tegus (HN):</t>
        </r>
        <r>
          <rPr>
            <sz val="9"/>
            <rFont val="Tahoma"/>
            <family val="2"/>
          </rPr>
          <t xml:space="preserve">
Reported as $87.49</t>
        </r>
      </text>
    </comment>
    <comment ref="AT473" authorId="0" shapeId="0" xr:uid="{00000000-0006-0000-0100-00009B000000}">
      <text>
        <r>
          <rPr>
            <b/>
            <sz val="9"/>
            <rFont val="Tahoma"/>
            <family val="2"/>
          </rPr>
          <t>Tegus (SL):</t>
        </r>
        <r>
          <rPr>
            <sz val="9"/>
            <rFont val="Tahoma"/>
            <family val="2"/>
          </rPr>
          <t xml:space="preserve">
reported as $92.15</t>
        </r>
      </text>
    </comment>
    <comment ref="AU473" authorId="0" shapeId="0" xr:uid="{00000000-0006-0000-0100-00009C000000}">
      <text>
        <r>
          <rPr>
            <b/>
            <sz val="9"/>
            <rFont val="Tahoma"/>
            <family val="2"/>
          </rPr>
          <t>Tegus (SL):</t>
        </r>
        <r>
          <rPr>
            <sz val="9"/>
            <rFont val="Tahoma"/>
            <family val="2"/>
          </rPr>
          <t xml:space="preserve">
reported as $92.15</t>
        </r>
      </text>
    </comment>
    <comment ref="AV473" authorId="0" shapeId="0" xr:uid="{00000000-0006-0000-0100-00009D000000}">
      <text>
        <r>
          <rPr>
            <b/>
            <sz val="9"/>
            <rFont val="Tahoma"/>
            <family val="2"/>
          </rPr>
          <t>Tegus (HN):</t>
        </r>
        <r>
          <rPr>
            <sz val="9"/>
            <rFont val="Tahoma"/>
            <family val="2"/>
          </rPr>
          <t xml:space="preserve">
Reported as $94.53</t>
        </r>
      </text>
    </comment>
    <comment ref="AX473" authorId="0" shapeId="0" xr:uid="{00000000-0006-0000-0100-00009E000000}">
      <text>
        <r>
          <rPr>
            <b/>
            <sz val="9"/>
            <rFont val="Tahoma"/>
            <family val="2"/>
          </rPr>
          <t>Tegus (HN):</t>
        </r>
        <r>
          <rPr>
            <sz val="9"/>
            <rFont val="Tahoma"/>
            <family val="2"/>
          </rPr>
          <t xml:space="preserve">
Reported as $94.17</t>
        </r>
      </text>
    </comment>
    <comment ref="AY473" authorId="0" shapeId="0" xr:uid="{00000000-0006-0000-0100-00009F000000}">
      <text>
        <r>
          <rPr>
            <b/>
            <sz val="9"/>
            <rFont val="Tahoma"/>
            <family val="2"/>
          </rPr>
          <t>Tegus (SHK):</t>
        </r>
        <r>
          <rPr>
            <sz val="9"/>
            <rFont val="Tahoma"/>
            <family val="2"/>
          </rPr>
          <t xml:space="preserve">
Reported as $ 96.00 </t>
        </r>
      </text>
    </comment>
    <comment ref="AZ473" authorId="0" shapeId="0" xr:uid="{00000000-0006-0000-0100-0000A0000000}">
      <text>
        <r>
          <rPr>
            <b/>
            <sz val="9"/>
            <rFont val="Tahoma"/>
            <family val="2"/>
          </rPr>
          <t>Tegus (SHK):</t>
        </r>
        <r>
          <rPr>
            <sz val="9"/>
            <rFont val="Tahoma"/>
            <family val="2"/>
          </rPr>
          <t xml:space="preserve">
Reported as $ 96.00 </t>
        </r>
      </text>
    </comment>
    <comment ref="BA473" authorId="0" shapeId="0" xr:uid="{00000000-0006-0000-0100-0000A1000000}">
      <text>
        <r>
          <rPr>
            <b/>
            <sz val="9"/>
            <rFont val="Tahoma"/>
            <family val="2"/>
          </rPr>
          <t>Tegus (AS):</t>
        </r>
        <r>
          <rPr>
            <sz val="9"/>
            <rFont val="Tahoma"/>
            <family val="2"/>
          </rPr>
          <t xml:space="preserve">
Reported as $98.45</t>
        </r>
      </text>
    </comment>
    <comment ref="BB473" authorId="0" shapeId="0" xr:uid="{00000000-0006-0000-0100-0000A2000000}">
      <text>
        <r>
          <rPr>
            <b/>
            <sz val="9"/>
            <rFont val="Tahoma"/>
            <family val="2"/>
          </rPr>
          <t>Tegus (FV):</t>
        </r>
        <r>
          <rPr>
            <sz val="9"/>
            <rFont val="Tahoma"/>
            <family val="2"/>
          </rPr>
          <t xml:space="preserve">
Reported as $97.14</t>
        </r>
      </text>
    </comment>
    <comment ref="BD473" authorId="0" shapeId="0" xr:uid="{00000000-0006-0000-0100-0000A3000000}">
      <text>
        <r>
          <rPr>
            <b/>
            <sz val="9"/>
            <rFont val="Tahoma"/>
            <family val="2"/>
          </rPr>
          <t>Tegus (KuB):</t>
        </r>
        <r>
          <rPr>
            <sz val="9"/>
            <rFont val="Tahoma"/>
            <family val="2"/>
          </rPr>
          <t xml:space="preserve">
Reported as $104.57.</t>
        </r>
      </text>
    </comment>
    <comment ref="BE473" authorId="0" shapeId="0" xr:uid="{00000000-0006-0000-0100-0000A4000000}">
      <text>
        <r>
          <rPr>
            <b/>
            <sz val="9"/>
            <rFont val="Tahoma"/>
            <family val="2"/>
          </rPr>
          <t>Tegus (KuB):</t>
        </r>
        <r>
          <rPr>
            <sz val="9"/>
            <rFont val="Tahoma"/>
            <family val="2"/>
          </rPr>
          <t xml:space="preserve">
Reported as $104.57.</t>
        </r>
      </text>
    </comment>
    <comment ref="BF473" authorId="0" shapeId="0" xr:uid="{00000000-0006-0000-0100-0000A5000000}">
      <text>
        <r>
          <rPr>
            <b/>
            <sz val="9"/>
            <rFont val="Tahoma"/>
            <family val="2"/>
          </rPr>
          <t>Tegus (KuB):</t>
        </r>
        <r>
          <rPr>
            <sz val="9"/>
            <rFont val="Tahoma"/>
            <family val="2"/>
          </rPr>
          <t xml:space="preserve">
Reported as $105.69.</t>
        </r>
      </text>
    </comment>
    <comment ref="BG473" authorId="1" shapeId="0" xr:uid="{00000000-0006-0000-0100-0000A6000000}">
      <text>
        <r>
          <rPr>
            <b/>
            <sz val="9"/>
            <rFont val="Tahoma"/>
            <family val="2"/>
            <charset val="1"/>
          </rPr>
          <t>Tegus (KKR):</t>
        </r>
        <r>
          <rPr>
            <sz val="9"/>
            <rFont val="Tahoma"/>
            <family val="2"/>
            <charset val="1"/>
          </rPr>
          <t xml:space="preserve">
Reported 106.62$</t>
        </r>
      </text>
    </comment>
    <comment ref="BH473" authorId="2" shapeId="0" xr:uid="{0513991E-6667-4D55-94E3-6F77F1046E17}">
      <text>
        <r>
          <rPr>
            <b/>
            <sz val="9"/>
            <rFont val="Tahoma"/>
            <family val="2"/>
            <charset val="1"/>
          </rPr>
          <t>Tegus (KuB):</t>
        </r>
        <r>
          <rPr>
            <sz val="9"/>
            <rFont val="Tahoma"/>
            <family val="2"/>
            <charset val="1"/>
          </rPr>
          <t xml:space="preserve">
Reported as $111.25</t>
        </r>
      </text>
    </comment>
    <comment ref="A499" authorId="0" shapeId="0" xr:uid="{00000000-0006-0000-0100-0000A7000000}">
      <text>
        <r>
          <rPr>
            <b/>
            <sz val="9"/>
            <rFont val="Tahoma"/>
            <family val="2"/>
          </rPr>
          <t>Tegus (TW):</t>
        </r>
        <r>
          <rPr>
            <sz val="9"/>
            <rFont val="Tahoma"/>
            <family val="2"/>
          </rPr>
          <t xml:space="preserve">
company reported amounts rounded to billions</t>
        </r>
      </text>
    </comment>
    <comment ref="Z499" authorId="0" shapeId="0" xr:uid="{00000000-0006-0000-0100-0000A8000000}">
      <text>
        <r>
          <rPr>
            <b/>
            <sz val="9"/>
            <rFont val="Tahoma"/>
            <family val="2"/>
          </rPr>
          <t>Tegus (TW):</t>
        </r>
        <r>
          <rPr>
            <sz val="9"/>
            <rFont val="Tahoma"/>
            <family val="2"/>
          </rPr>
          <t xml:space="preserve">
not reported</t>
        </r>
      </text>
    </comment>
    <comment ref="D526" authorId="0" shapeId="0" xr:uid="{00000000-0006-0000-0100-0000A9000000}">
      <text>
        <r>
          <rPr>
            <b/>
            <sz val="9"/>
            <rFont val="Tahoma"/>
            <family val="2"/>
          </rPr>
          <t>Tegus (TW):</t>
        </r>
        <r>
          <rPr>
            <sz val="9"/>
            <rFont val="Tahoma"/>
            <family val="2"/>
          </rPr>
          <t xml:space="preserve">
matches reported</t>
        </r>
      </text>
    </comment>
    <comment ref="D528" authorId="0" shapeId="0" xr:uid="{00000000-0006-0000-0100-0000AA000000}">
      <text>
        <r>
          <rPr>
            <b/>
            <sz val="9"/>
            <rFont val="Tahoma"/>
            <family val="2"/>
          </rPr>
          <t>Tegus (TW):</t>
        </r>
        <r>
          <rPr>
            <sz val="9"/>
            <rFont val="Tahoma"/>
            <family val="2"/>
          </rPr>
          <t xml:space="preserve">
matches reported</t>
        </r>
      </text>
    </comment>
  </commentList>
</comments>
</file>

<file path=xl/sharedStrings.xml><?xml version="1.0" encoding="utf-8"?>
<sst xmlns="http://schemas.openxmlformats.org/spreadsheetml/2006/main" count="815" uniqueCount="670">
  <si>
    <t xml:space="preserve">Please contact this email for any model-specific questions: </t>
  </si>
  <si>
    <t>support@tegus.com</t>
  </si>
  <si>
    <t>Company Model:</t>
  </si>
  <si>
    <t>Comments on Model:</t>
  </si>
  <si>
    <t xml:space="preserve">Updated: </t>
  </si>
  <si>
    <t>For:</t>
  </si>
  <si>
    <t>Consensus Data and Real-Time Stock Price:</t>
  </si>
  <si>
    <t>Bloomberg</t>
  </si>
  <si>
    <t>Real-Time Stock Price:</t>
  </si>
  <si>
    <t>Stock Price Override:</t>
  </si>
  <si>
    <t>The Travelers Companies, Inc.</t>
  </si>
  <si>
    <t>USD</t>
  </si>
  <si>
    <t>FY2009</t>
  </si>
  <si>
    <t>Growth Analysis</t>
  </si>
  <si>
    <t>Business Insurance gross written premiums growth, %</t>
  </si>
  <si>
    <t>Bond &amp; Specialty Insurance gross written premiums growth, %</t>
  </si>
  <si>
    <t>Personal Insurance gross written premiums growth, %</t>
  </si>
  <si>
    <t>Total Gross Written Premiums Growth, %</t>
  </si>
  <si>
    <t>Total Net Earned Premiums Growth, %</t>
  </si>
  <si>
    <t>Total Underwriting Income Growth, %</t>
  </si>
  <si>
    <t>Business Insurance gross written premiums, mm</t>
  </si>
  <si>
    <t>Bond &amp; Specialty Insurance gross written premiums, mm</t>
  </si>
  <si>
    <t>Personal Insurance gross written premiums, mm</t>
  </si>
  <si>
    <t>Total Gross Written Premiums, mm</t>
  </si>
  <si>
    <t>Business Insurance ceded written premiums, mm</t>
  </si>
  <si>
    <t>Bond &amp; Specialty Insurance ceded written premiums, mm</t>
  </si>
  <si>
    <t>Personal Insurance ceded written premiums, mm</t>
  </si>
  <si>
    <t>Total Ceded Written Premiums, mm</t>
  </si>
  <si>
    <t>Business Insurance net written premiums, mm</t>
  </si>
  <si>
    <t>Bond &amp; Specialty Insurance net written premiums, mm</t>
  </si>
  <si>
    <t>Personal Insurance net written premiums, mm</t>
  </si>
  <si>
    <t>Total Net Written Premiums, mm</t>
  </si>
  <si>
    <t>Business Insurance gross earned premiums, mm</t>
  </si>
  <si>
    <t>Bond &amp; Specialty Insurance gross earned premiums, mm</t>
  </si>
  <si>
    <t>Personal Insurance gross earned premiums, mm</t>
  </si>
  <si>
    <t>Total Gross Earned Premiums, mm</t>
  </si>
  <si>
    <t>Business Insurance ceded earned premiums, mm</t>
  </si>
  <si>
    <t>Bond &amp; Specialty Insurance ceded earned premiums, mm</t>
  </si>
  <si>
    <t>Personal Insurance ceded earned premiums, mm</t>
  </si>
  <si>
    <t>Total Ceded Earned Premiums, mm</t>
  </si>
  <si>
    <t>Business Insurance net earned premiums, mm</t>
  </si>
  <si>
    <t>Bond &amp; Specialty Insurance net earned premiums, mm</t>
  </si>
  <si>
    <t>Personal Insurance net earned premiums, mm</t>
  </si>
  <si>
    <t>Total Net Earned Premiums, mm</t>
  </si>
  <si>
    <t>Business Insurance loss and LAE, mm</t>
  </si>
  <si>
    <t>Bond &amp; Specialty Insurance loss and LAE, mm</t>
  </si>
  <si>
    <t>Personal Insurance loss and LAE, mm</t>
  </si>
  <si>
    <t>Total Loss and LAE, mm</t>
  </si>
  <si>
    <t>Business Insurance other operating expenses, mm</t>
  </si>
  <si>
    <t>Bond &amp; Specialty Insurance other operating expenses, mm</t>
  </si>
  <si>
    <t>Personal Insurance other operating expenses, mm</t>
  </si>
  <si>
    <t>Total Other Operating Expenses, mm</t>
  </si>
  <si>
    <t>Business Insurance combined underwriting expenses, mm</t>
  </si>
  <si>
    <t>Bond &amp; Specialty Insurance combined underwriting expenses, mm</t>
  </si>
  <si>
    <t>Personal Insurance combined underwriting expenses, mm</t>
  </si>
  <si>
    <t>Total Combined Underwriting Expenses, mm</t>
  </si>
  <si>
    <t>Business Insurance underwriting income, mm</t>
  </si>
  <si>
    <t>Bond &amp; Specialty Insurance underwriting income, mm</t>
  </si>
  <si>
    <t>Personal Insurance underwriting income, mm</t>
  </si>
  <si>
    <t>Total Underwriting Income, mm</t>
  </si>
  <si>
    <t>Underwriting Ratios</t>
  </si>
  <si>
    <t>Business Insurance net retention ratio, %</t>
  </si>
  <si>
    <t>Bond &amp; Specialty Insurance net retention ratio, %</t>
  </si>
  <si>
    <t>Personal Insurance net retention ratio, %</t>
  </si>
  <si>
    <t>Total Net Retention Ratio, %</t>
  </si>
  <si>
    <t>Business Insurance percentage of written premiums earned, %</t>
  </si>
  <si>
    <t>Bond &amp; Specialty Insurance percentage of written premiums earned, %</t>
  </si>
  <si>
    <t>Personal Insurance percentage of written premiums earned, %</t>
  </si>
  <si>
    <t>Percentage of Total Written Premiums Earned, %</t>
  </si>
  <si>
    <t>Business Insurance loss and LAE ratio, %</t>
  </si>
  <si>
    <t>Bond &amp; Specialty Insurance loss and LAE ratio, %</t>
  </si>
  <si>
    <t>Personal Insurance loss and LAE ratio, %</t>
  </si>
  <si>
    <t>Total Loss and LAE Ratio, %</t>
  </si>
  <si>
    <t>Business Insurance other operating expenses ratio, %</t>
  </si>
  <si>
    <t>Bond &amp; Specialty Insurance other operating expenses ratio, %</t>
  </si>
  <si>
    <t>Personal Insurance other operating expenses ratio, %</t>
  </si>
  <si>
    <t>Total Other Operating Expenses Ratio, %</t>
  </si>
  <si>
    <t>Business Insurance combined ratio, %</t>
  </si>
  <si>
    <t>Bond &amp; Specialty Insurance combined ratio, %</t>
  </si>
  <si>
    <t>Personal Insurance combined ratio, %</t>
  </si>
  <si>
    <t>Total Combined Ratio, %</t>
  </si>
  <si>
    <t>Unearned Premium Reserves</t>
  </si>
  <si>
    <t>Gross Unearned Premium Reserves, mm</t>
  </si>
  <si>
    <t>Ceded Unearned Premiums, mm</t>
  </si>
  <si>
    <t>Net Unearned Premium Reserves, mm</t>
  </si>
  <si>
    <t>Change in Gross Unearned Premium Reserves, mm</t>
  </si>
  <si>
    <t>Change in Ceded Unearned Premiums, mm</t>
  </si>
  <si>
    <t>Change in Net Unearned Premium Reserves, mm</t>
  </si>
  <si>
    <t>Loss Reserves</t>
  </si>
  <si>
    <t>Gross Loss Reserves, mm</t>
  </si>
  <si>
    <t>Reinsurance Recoverable, mm</t>
  </si>
  <si>
    <t>Net Loss Reserves, mm</t>
  </si>
  <si>
    <t>Loss and LAE Incurred, mm</t>
  </si>
  <si>
    <t>Loss and LAE Paid - Implied, mm</t>
  </si>
  <si>
    <t>Change in Net Loss Reserves, mm</t>
  </si>
  <si>
    <t>Loss Payout Ratio, %</t>
  </si>
  <si>
    <t>Investment Income</t>
  </si>
  <si>
    <t>Total Investments - End Balance, mm</t>
  </si>
  <si>
    <t>Total Investments - End Balance Growth, %</t>
  </si>
  <si>
    <t>Total Investments - Average Balance, mm</t>
  </si>
  <si>
    <t>Net Investment Income Yield (Annualized), %</t>
  </si>
  <si>
    <t>Net Investment Income, mm</t>
  </si>
  <si>
    <t>Net Investment Gains, mm</t>
  </si>
  <si>
    <t>Income Statement - As Reported</t>
  </si>
  <si>
    <t>Premiums</t>
  </si>
  <si>
    <t>Net investment income</t>
  </si>
  <si>
    <t>Fee income</t>
  </si>
  <si>
    <t>Net realized investment gains</t>
  </si>
  <si>
    <t>Other revenues</t>
  </si>
  <si>
    <t>Total revenues</t>
  </si>
  <si>
    <t>Claims and claim adjustment expenses</t>
  </si>
  <si>
    <t>Amortization of deferred acquisition costs</t>
  </si>
  <si>
    <t>General and administrative expenses</t>
  </si>
  <si>
    <t>Interest expense</t>
  </si>
  <si>
    <t>Total claims and expenses</t>
  </si>
  <si>
    <t>Income before income taxes</t>
  </si>
  <si>
    <t>Income tax expense</t>
  </si>
  <si>
    <t>Net Income</t>
  </si>
  <si>
    <t>IS Check</t>
  </si>
  <si>
    <t>Adjusted Numbers - As Reported</t>
  </si>
  <si>
    <t>Preferred stock dividends</t>
  </si>
  <si>
    <t>Participating share-based awards - allocated income</t>
  </si>
  <si>
    <t>Net Income Available to Common Shareholders</t>
  </si>
  <si>
    <t>Convertible preferred stock</t>
  </si>
  <si>
    <t>Participating share-based awards - re-allocated income</t>
  </si>
  <si>
    <t>Zero coupon convertible notes</t>
  </si>
  <si>
    <t>Net Income Available to Common Shareholders - Diluted</t>
  </si>
  <si>
    <t>Net Income per Share - Basic</t>
  </si>
  <si>
    <t>Net realized investment gains, after-tax</t>
  </si>
  <si>
    <t>Impact of TCJA at enactment</t>
  </si>
  <si>
    <t>Core Income per Share - Basic</t>
  </si>
  <si>
    <t>Net Income per Share - Diluted</t>
  </si>
  <si>
    <t>Core Income per Share - Diluted</t>
  </si>
  <si>
    <t>Revised Income Statement</t>
  </si>
  <si>
    <t>Net Earned Premiums</t>
  </si>
  <si>
    <t>Net Investment Income</t>
  </si>
  <si>
    <t>Net Investment Gains</t>
  </si>
  <si>
    <t>Other Income</t>
  </si>
  <si>
    <t>Net Revenue</t>
  </si>
  <si>
    <t>Loss and LAE</t>
  </si>
  <si>
    <t>Other Operating Expenses</t>
  </si>
  <si>
    <t>Interest Expense</t>
  </si>
  <si>
    <t>EBT</t>
  </si>
  <si>
    <t>Current Tax</t>
  </si>
  <si>
    <t>Deferred Tax</t>
  </si>
  <si>
    <t>Net Income from Continued Operation</t>
  </si>
  <si>
    <t>Earnings from Equity Investments</t>
  </si>
  <si>
    <t>Discontinued Operations</t>
  </si>
  <si>
    <t>Net Income to NCI</t>
  </si>
  <si>
    <t>Earnings to Preferred and Other Securities</t>
  </si>
  <si>
    <t>Net Income to Common Shareholders</t>
  </si>
  <si>
    <t>Adjustments for Convertible Securities</t>
  </si>
  <si>
    <t>Diluted Net Income to Common Shareholders</t>
  </si>
  <si>
    <t>Non-GAAP Adjustments</t>
  </si>
  <si>
    <t>Non-GAAP Adjustments for Dilutive Securities</t>
  </si>
  <si>
    <t>Current Tax Rate</t>
  </si>
  <si>
    <t>Deferred Tax Rate</t>
  </si>
  <si>
    <t>Earnings Per Share - WAB</t>
  </si>
  <si>
    <t>Earnings Per Share - WAD</t>
  </si>
  <si>
    <t>Shares Outstanding - WAB</t>
  </si>
  <si>
    <t>Shares Outstanding - WAD</t>
  </si>
  <si>
    <t>Adjusted Shares Outstanding - WAD</t>
  </si>
  <si>
    <t>Dividend Summary</t>
  </si>
  <si>
    <t>Dividends Paid to Common Shareholders</t>
  </si>
  <si>
    <t>Dividend Per Common Share</t>
  </si>
  <si>
    <t>Payout Ratio</t>
  </si>
  <si>
    <t>Balance Sheet Summary</t>
  </si>
  <si>
    <t>Net Unearned Premium Reserves</t>
  </si>
  <si>
    <t>Net Loss Reserves</t>
  </si>
  <si>
    <t>Net Technical Reserves</t>
  </si>
  <si>
    <t>Total Equity</t>
  </si>
  <si>
    <t>Preferred Shares</t>
  </si>
  <si>
    <t>Total Common Shareholder's Equity</t>
  </si>
  <si>
    <t>Total Adjusted Common Equity</t>
  </si>
  <si>
    <t>Total Tangible Common Equity</t>
  </si>
  <si>
    <t>Book Value per Common Share</t>
  </si>
  <si>
    <t>Adjusted Book Value per Common Share</t>
  </si>
  <si>
    <t>Tangible Book Value per Common Share</t>
  </si>
  <si>
    <t>Return on Average Total Assets</t>
  </si>
  <si>
    <t>Return on Average Common Equity</t>
  </si>
  <si>
    <t>Return on Average Adjusted Common Equity</t>
  </si>
  <si>
    <t>Return on Average Tangible Common Equity</t>
  </si>
  <si>
    <t>Statutory Income and Capital - As Reported</t>
  </si>
  <si>
    <t>Statutory capital and surplus, mm</t>
  </si>
  <si>
    <t>Statutory net income, mm</t>
  </si>
  <si>
    <t>Valuation</t>
  </si>
  <si>
    <t>Avg</t>
  </si>
  <si>
    <t>Cumulative Cash Flow Statement</t>
  </si>
  <si>
    <t>CFO</t>
  </si>
  <si>
    <t>Net income</t>
  </si>
  <si>
    <t>Depreciation and amortization</t>
  </si>
  <si>
    <t>Deferred federal income tax expense</t>
  </si>
  <si>
    <t>Equity in income from other investments</t>
  </si>
  <si>
    <t>CFO before WC</t>
  </si>
  <si>
    <t>Premiums receivable</t>
  </si>
  <si>
    <t>Reinsurance recoverables</t>
  </si>
  <si>
    <t>Deferred acquisition costs</t>
  </si>
  <si>
    <t>Claims and claim adjustment expense reserves</t>
  </si>
  <si>
    <t>Unearned premium reserves</t>
  </si>
  <si>
    <t>Ceded unearned premiums</t>
  </si>
  <si>
    <t>Other</t>
  </si>
  <si>
    <t>Net CFO</t>
  </si>
  <si>
    <t>CFI</t>
  </si>
  <si>
    <t>Proceeds from maturities of fixed maturities</t>
  </si>
  <si>
    <t>Sales of fixed maturities</t>
  </si>
  <si>
    <t>Sales of equity securities</t>
  </si>
  <si>
    <t>Sales of real estate investments</t>
  </si>
  <si>
    <t>Sales of other investments</t>
  </si>
  <si>
    <t>Purchases of fixed maturities</t>
  </si>
  <si>
    <t>Purchases of equity securities</t>
  </si>
  <si>
    <t>Purchases of real estate investments</t>
  </si>
  <si>
    <t>Purchases of other investments</t>
  </si>
  <si>
    <t>Net purchases of short-term securities</t>
  </si>
  <si>
    <t>Securities transactions in course of settlement</t>
  </si>
  <si>
    <t>Acquisitions, net of cash acquired</t>
  </si>
  <si>
    <t>Net CFI</t>
  </si>
  <si>
    <t>CFF</t>
  </si>
  <si>
    <t>Treasury stock acquired - share repurchase authorization</t>
  </si>
  <si>
    <t>Treasury stock acquired - net employee share-based compensation</t>
  </si>
  <si>
    <t>Dividends paid to shareholders</t>
  </si>
  <si>
    <t>Payment of debt</t>
  </si>
  <si>
    <t>Issuance of debt</t>
  </si>
  <si>
    <t>Issuance of common stock - employee share options</t>
  </si>
  <si>
    <t>Excess tax benefits from share-based payment arrangements</t>
  </si>
  <si>
    <t>Net CFF</t>
  </si>
  <si>
    <t>FX</t>
  </si>
  <si>
    <t>Net Change in Cash Balance</t>
  </si>
  <si>
    <t>Beginning Cash Balance</t>
  </si>
  <si>
    <t>Ending Cash Balance</t>
  </si>
  <si>
    <t>Cash Flow Statement</t>
  </si>
  <si>
    <t>CF Check</t>
  </si>
  <si>
    <t>Balance Sheet</t>
  </si>
  <si>
    <t>Assets</t>
  </si>
  <si>
    <t>Fixed maturities, available for sale, at fair value</t>
  </si>
  <si>
    <t>Equity securities, available for sale, at fair value</t>
  </si>
  <si>
    <t>Real estate investments</t>
  </si>
  <si>
    <t>Short-term securities</t>
  </si>
  <si>
    <t>Other investments</t>
  </si>
  <si>
    <t>Total investments</t>
  </si>
  <si>
    <t>Cash</t>
  </si>
  <si>
    <t>Investment income accrued</t>
  </si>
  <si>
    <t>Deferred taxes</t>
  </si>
  <si>
    <t>Contractholder receivables</t>
  </si>
  <si>
    <t>Goodwill</t>
  </si>
  <si>
    <t>Other intangible assets</t>
  </si>
  <si>
    <t>Other assets</t>
  </si>
  <si>
    <t>Total Assets</t>
  </si>
  <si>
    <t>Liabilities</t>
  </si>
  <si>
    <t>Contractholder payables</t>
  </si>
  <si>
    <t>Payables for reinsurance premiums</t>
  </si>
  <si>
    <t>Debt</t>
  </si>
  <si>
    <t>Other liabilities</t>
  </si>
  <si>
    <t>Total Liabilities</t>
  </si>
  <si>
    <t>Shareholders' Equity</t>
  </si>
  <si>
    <t>Preferred Stock Savings Plan—convertible preferred stock</t>
  </si>
  <si>
    <t>Common stock</t>
  </si>
  <si>
    <t>Retained earnings</t>
  </si>
  <si>
    <t>Accumulated other comprehensive loss</t>
  </si>
  <si>
    <t>Treasury stock, at cost</t>
  </si>
  <si>
    <t>Total SE</t>
  </si>
  <si>
    <t>NCI</t>
  </si>
  <si>
    <t>Total Liabilities &amp; SE</t>
  </si>
  <si>
    <t>BS Check</t>
  </si>
  <si>
    <t>Model Checks</t>
  </si>
  <si>
    <t>Net Income on Revised IS = NI on CF statement</t>
  </si>
  <si>
    <t>Net Income on Reported IS = NI on Revised</t>
  </si>
  <si>
    <t>NEP = NEP in RIS</t>
  </si>
  <si>
    <t>Loss &amp; LAE = Loss &amp; LAE in RIS</t>
  </si>
  <si>
    <t>Policy Acquisition Expense = PAE in RIS</t>
  </si>
  <si>
    <t>Other Operating Expense = Other Operating Expense in RIS</t>
  </si>
  <si>
    <t>Net Investment Income = Net Investment Income in RIS</t>
  </si>
  <si>
    <t>Net Investment Gain = Net Investment Gain in RIS</t>
  </si>
  <si>
    <t>Underwriting Expense = Total Expense</t>
  </si>
  <si>
    <t>GUPR = GUPR in BS</t>
  </si>
  <si>
    <t>CUP = CUP in BS</t>
  </si>
  <si>
    <t>GLR = GLR in BS</t>
  </si>
  <si>
    <t>RR = RR in BS</t>
  </si>
  <si>
    <t>Net Technical Reserve = NUPR + NLR</t>
  </si>
  <si>
    <t>Cash Balance Positive</t>
  </si>
  <si>
    <t>Cash Flow is not Repeated</t>
  </si>
  <si>
    <t>Income Statement is not Repeated</t>
  </si>
  <si>
    <t>Balance Sheet is not Repeated</t>
  </si>
  <si>
    <t>Ending CF = Ending Cumulative CF</t>
  </si>
  <si>
    <t>*RIS NI FY = Sum of Qs</t>
  </si>
  <si>
    <t>*RIS Adjusted NI FY = Sum of Qs</t>
  </si>
  <si>
    <t>*CFO Before WC subtotal FY = Sum of Qs</t>
  </si>
  <si>
    <t>*CFO subtotal FY = Sum of Qs</t>
  </si>
  <si>
    <t>*CFI subtotal FY = Sum of Qs</t>
  </si>
  <si>
    <t>*CFF subtotal FY = Sum of Qs</t>
  </si>
  <si>
    <t>Other Tables</t>
  </si>
  <si>
    <t>Ticker Symbol</t>
  </si>
  <si>
    <t>TRV US</t>
  </si>
  <si>
    <t>NYSE:TRV</t>
  </si>
  <si>
    <t>TRV-US</t>
  </si>
  <si>
    <t>TRV.N</t>
  </si>
  <si>
    <t>Valuation Toggle Table</t>
  </si>
  <si>
    <t>High</t>
  </si>
  <si>
    <t>Low</t>
  </si>
  <si>
    <t>Consensus Estimate Table</t>
  </si>
  <si>
    <t>FY or FQ</t>
  </si>
  <si>
    <t>Period</t>
  </si>
  <si>
    <t>Stock Price Table</t>
  </si>
  <si>
    <t>Fiscal Period Start Date</t>
  </si>
  <si>
    <t>Is Historical Period</t>
  </si>
  <si>
    <t>Real-Time Off Source</t>
  </si>
  <si>
    <t>Capital IQ</t>
  </si>
  <si>
    <t>FactSet</t>
  </si>
  <si>
    <t>General Table</t>
  </si>
  <si>
    <t>Last Price</t>
  </si>
  <si>
    <t>Last Price Date</t>
  </si>
  <si>
    <t>Real-Time Stock Price</t>
  </si>
  <si>
    <t>Last Price Formula</t>
  </si>
  <si>
    <t>Trade Currency</t>
  </si>
  <si>
    <t>Trade Currency Hardcoded</t>
  </si>
  <si>
    <t>Model Sheet Currency Hardcoded</t>
  </si>
  <si>
    <t>Most Recent FX</t>
  </si>
  <si>
    <t>Most Recent FX Hardcoded</t>
  </si>
  <si>
    <t>MRFP Column Number</t>
  </si>
  <si>
    <t>Most Recent Fiscal Period (MRFP)</t>
  </si>
  <si>
    <t>Current Fiscal Year</t>
  </si>
  <si>
    <t>Data Source Index</t>
  </si>
  <si>
    <t>Reports</t>
  </si>
  <si>
    <t>Capitalization Summary</t>
  </si>
  <si>
    <t>Underwriting Income</t>
  </si>
  <si>
    <t>Underwriting Ratio</t>
  </si>
  <si>
    <t>GAAP Financials</t>
  </si>
  <si>
    <t>Tax</t>
  </si>
  <si>
    <t>Non-GAAP Financials</t>
  </si>
  <si>
    <t>Profitability Ratios</t>
  </si>
  <si>
    <t>Valuation Metrics</t>
  </si>
  <si>
    <t>Check</t>
  </si>
  <si>
    <t>GAAP NI</t>
  </si>
  <si>
    <t>UI</t>
  </si>
  <si>
    <t>Update Date</t>
  </si>
  <si>
    <t>Updated By (Initials)</t>
  </si>
  <si>
    <t>Update Type</t>
  </si>
  <si>
    <t>Special Comments</t>
  </si>
  <si>
    <t>Link to Press Release / News Item</t>
  </si>
  <si>
    <t>NQ &amp; OG</t>
  </si>
  <si>
    <t>Q1-2019</t>
  </si>
  <si>
    <t>Earnings Press Release</t>
  </si>
  <si>
    <t>OG &amp; SW</t>
  </si>
  <si>
    <t>Annual (Earnings Report)</t>
  </si>
  <si>
    <t>ML &amp; NQ</t>
  </si>
  <si>
    <t>Q3-2018</t>
  </si>
  <si>
    <t>EN</t>
  </si>
  <si>
    <t>Q2-2018</t>
  </si>
  <si>
    <t>TM &amp; RC</t>
  </si>
  <si>
    <t>Q1-2018</t>
  </si>
  <si>
    <t>TW</t>
  </si>
  <si>
    <t>Q4-2017</t>
  </si>
  <si>
    <r>
      <rPr>
        <b/>
        <sz val="7"/>
        <color rgb="FF000000"/>
        <rFont val="Calibri"/>
        <family val="2"/>
        <scheme val="minor"/>
      </rPr>
      <t>DISCLAIMER</t>
    </r>
    <r>
      <rPr>
        <sz val="7"/>
        <color rgb="FF000000"/>
        <rFont val="Calibri"/>
        <family val="2"/>
        <scheme val="minor"/>
      </rPr>
      <t xml:space="preserve">
Access to and use of this model, including the data contained herein (this "Model") is subject to Tegus, Inc.'s (a successor entity to Canalyst Financial Modeling Corporation) ("Company") Terms of Use that you accepted prior to accessing this Model, the applicable Service Agreement between the Company and you (or a corporate entity that has authorized you to access and use this Model on its behalf in accordance with the terms of such Service Agreement) or other similar agreement between you and the Company. BY CONTINUING TO ACCESS OR USE THIS MODEL, YOU EXPRESSLY AGREE TO THE TERMS AND CONDITIONS OF SUCH AGREEMENTS.
</t>
    </r>
    <r>
      <rPr>
        <b/>
        <sz val="7"/>
        <color rgb="FF000000"/>
        <rFont val="Calibri"/>
        <family val="2"/>
        <scheme val="minor"/>
      </rPr>
      <t>The Company and certain of its licensors have exclusive proprietary rights in this Model. This Model is being provided for internal use only. Unless prior written consent by the Company and its licensors has been provided to you, you may not distribute or otherwise furnish this Model to any third party, nor use or permit anyone to use this Model for any unlawful or unauthorized purpose. IF YOU HAVE UNLAWFULLY OBTAINED, OR ARE NOT AUTHORIZED TO USE THIS MODEL, YOU ARE OBLIGATED TO PROMPTLY: (I) RETURN THIS MODEL (AND ANY DERIVATIVE WORKS ARISING FROM OR RELATING THERETO) TO THE AUTHORIZED USER OF THIS MODEL; (II) PROVIDE NOTICE TO THE COMPANY AT LEGAL@TEGUS.COM OF SUCH UNLAWFUL OR UNAUTHORIZED ACCESS AND USE; AND, (III) CERTIFY THAT YOU HAVE DESTROYED THIS MODEL (AND ANY DERIVATIVE WORKS ARISING FROM OR RELATING THERETO) AND ANY COPIES FROM YOUR SYSTEMS SO AS TO ENSURE THEY ARE INCAPABLE OF RETRIEVAL.</t>
    </r>
    <r>
      <rPr>
        <sz val="7"/>
        <color rgb="FF000000"/>
        <rFont val="Calibri"/>
        <family val="2"/>
        <scheme val="minor"/>
      </rPr>
      <t xml:space="preserve">
A portion of the data contained in this Model may be powered by third party contributors and their respective licensors, or derived from data provided by such contributors, including (but not limited to): (i) </t>
    </r>
    <r>
      <rPr>
        <b/>
        <sz val="7"/>
        <color rgb="FF000000"/>
        <rFont val="Calibri"/>
        <family val="2"/>
        <scheme val="minor"/>
      </rPr>
      <t>QuoteMedia Inc.</t>
    </r>
    <r>
      <rPr>
        <sz val="7"/>
        <color rgb="FF000000"/>
        <rFont val="Calibri"/>
        <family val="2"/>
        <scheme val="minor"/>
      </rPr>
      <t xml:space="preserve">: A portion of the market data is powered by Quotemedia.com. All rights reserved. Data delayed 15 minutes unless otherwise indicated; (ii) </t>
    </r>
    <r>
      <rPr>
        <b/>
        <sz val="7"/>
        <color rgb="FF000000"/>
        <rFont val="Calibri"/>
        <family val="2"/>
        <scheme val="minor"/>
      </rPr>
      <t>S&amp;P Global Market Intelligence LLC</t>
    </r>
    <r>
      <rPr>
        <sz val="7"/>
        <color rgb="FF000000"/>
        <rFont val="Calibri"/>
        <family val="2"/>
        <scheme val="minor"/>
      </rPr>
      <t xml:space="preserve">: Copyright (c) {{YEAR}} S&amp;P Global Market Intelligence LLC (and its affiliates as applicable). All rights reserved. Reproduction of any information, opinions, views, data or material, including ratings ("Content") in any form is prohibited except with the prior written permission of the relevant party. Such party, its affiliates and suppliers ("Content Providers") do not guarantee the accuracy, adequacy, completeness, timeliness or availability of any Content and are not responsible for any errors or omissions (negligent or otherwise), regardless of the cause, or for the results obtained from the use of such Content. In no event shall Content Providers be liable for any damages, costs, expenses, legal fees, or losses (including lost income or lost profit and opportunity costs) in connection with any use of the Content. A reference to a particular investment or security, a rating or any observation concerning an investment that is part of the Content is not a recommendation to buy, sell or hold such investment or security, does not address the suitability of an investment or security and should not be relied on as investment advice. Credit ratings are statements of opinions and are not statements of fact; and, (iii) </t>
    </r>
    <r>
      <rPr>
        <b/>
        <sz val="7"/>
        <color rgb="FF000000"/>
        <rFont val="Calibri"/>
        <family val="2"/>
        <scheme val="minor"/>
      </rPr>
      <t>Refinitiv Canada Holdings Limited</t>
    </r>
    <r>
      <rPr>
        <sz val="7"/>
        <color rgb="FF000000"/>
        <rFont val="Calibri"/>
        <family val="2"/>
        <scheme val="minor"/>
      </rPr>
      <t xml:space="preserve">: A portion of the information may be provided by or derived from data provided by Refinitiv.
By accessing or using this Model (including any portion of the data contained herein) you expressly represent that such access or use does not constitute a violation of any applicable law or regulation to which you or the securities are subject.
This Model does not constitute investment advice by the Company or any of its licensors. Reference to a particular investment or security, credit rating or any observation concerning a security or investment in this Model is not a recommendation or solicitation to buy, sell or hold such investment or security or make any other investment decisions. For greater certainty, any forecasts or forward-looking information expressed herein are for illustrative purposes only and do not purport to express any view on what may transpire. Neither the Company nor any of its licensors have performed company-specific research on any projected information, as such, it is your responsibility to express your own views on projected results. This Model does not guarantee future performance and undue reliance should not be placed on such. You are solely responsible for evaluating the merits and risks of any investment based on your own business and financial expertise, the business and financial expertise of professional advisors with whom you have consulted, your financial situation and risk tolerance. Neither the Company, nor any of its licensors, undertake any liability with respect to your reliance on this Model.
This Model is a quantitative tool with no investment views. The Company and its respective directors, officers, employees, agents, contractors, and affiliates may hold long or short positions in the security to which this Model relates, based on their personal views, and may initiate or close out any positions in such security at any time without any notice.
</t>
    </r>
    <r>
      <rPr>
        <b/>
        <sz val="7"/>
        <color rgb="FF000000"/>
        <rFont val="Calibri"/>
        <family val="2"/>
        <scheme val="minor"/>
      </rPr>
      <t>THIS MODEL IS PROVIDED "AS IS" AND ON AN "AS AVAILABLE" BASIS ONLY, WITHOUT WARRANTIES OR CONDITIONS OF ANY KIND. NEITHER THE COMPANY NOR ANY OF ITS LICENSORS NOR THEIR RESPECTIVE AFFILIATES OR SUPPLIERS HAVE LIABILITY FOR THE ACCURACY, TIMELINESS OR COMPLETENESS OF THIS MODEL, OR FOR DELAYS, INTERRUPTIONS OR OMISSIONS HEREIN, NOR FOR ANY LOST PROFITS, INDIRECT, SPECIAL OR CONSEQUENTIAL DAMAGES.</t>
    </r>
    <r>
      <rPr>
        <sz val="7"/>
        <color rgb="FF000000"/>
        <rFont val="Calibri"/>
        <family val="2"/>
        <scheme val="minor"/>
      </rPr>
      <t xml:space="preserve"> Access to data in this Model that is sourced from third party contributors is subject to termination in the event that any agreement between the Company and such third party contributors terminates for any reason.
</t>
    </r>
    <r>
      <rPr>
        <b/>
        <sz val="7"/>
        <color rgb="FF000000"/>
        <rFont val="Calibri"/>
        <family val="2"/>
        <scheme val="minor"/>
      </rPr>
      <t>Copyright 2023 Tegus. All rights reserved.</t>
    </r>
  </si>
  <si>
    <t>ArS NQ</t>
  </si>
  <si>
    <t>Q2-2019</t>
  </si>
  <si>
    <t>First Forecast Fiscal Year</t>
  </si>
  <si>
    <t>Q3-2019</t>
  </si>
  <si>
    <t>Return on Average Total Assets, %</t>
  </si>
  <si>
    <t>Return on Average Common Equity, %</t>
  </si>
  <si>
    <t>Return on Average Adjusted Common Equity, %</t>
  </si>
  <si>
    <t>Return on Average Tangible Common Equity, %</t>
  </si>
  <si>
    <t>Reserve Ratio, %</t>
  </si>
  <si>
    <t>Solvency Ratio, %</t>
  </si>
  <si>
    <t>ML NQ</t>
  </si>
  <si>
    <t>Core income</t>
  </si>
  <si>
    <t>Most Recent Period</t>
  </si>
  <si>
    <t>Quarterly (Earnings Report)</t>
  </si>
  <si>
    <t>FY2018</t>
  </si>
  <si>
    <t>FY2019</t>
  </si>
  <si>
    <t>ArS ML</t>
  </si>
  <si>
    <t>Key Outputs</t>
  </si>
  <si>
    <t>Business Insurance - Premiums, mm</t>
  </si>
  <si>
    <t>Business Insurance - Net investment income, mm</t>
  </si>
  <si>
    <t>Business Insurance - Fee income, mm</t>
  </si>
  <si>
    <t>Business Insurance - Other revenues, mm</t>
  </si>
  <si>
    <t>Business Insurance - Total revenues, mm</t>
  </si>
  <si>
    <t>Business Insurance - Claims and claim adjustment expenses, mm</t>
  </si>
  <si>
    <t>Business Insurance - Amortization of deferred acquisition costs, mm</t>
  </si>
  <si>
    <t>Business Insurance - General and administrative expenses, mm</t>
  </si>
  <si>
    <t>Business Insurance - Total claims and expenses, mm</t>
  </si>
  <si>
    <t>Business Insurance - Segment income before income taxes, mm</t>
  </si>
  <si>
    <t>Business Insurance - Income tax expense (benefit), mm</t>
  </si>
  <si>
    <t>Business Insurance - Segment income, mm</t>
  </si>
  <si>
    <t>Business Insurance - Net investment income (after-tax), mm</t>
  </si>
  <si>
    <t>Business Insurance - Underwriting gain (loss), mm</t>
  </si>
  <si>
    <t>Business Insurance - Other income (expense), mm</t>
  </si>
  <si>
    <t>Business Insurance - Loss and LAE ratio, %</t>
  </si>
  <si>
    <t>Business Insurance - Underwriting expense ratio, %</t>
  </si>
  <si>
    <t>Business Insurance - Combined ratio, %</t>
  </si>
  <si>
    <t>Business Insurance - Net (favourable) unfavourable prior year reserve development, %</t>
  </si>
  <si>
    <t>Business Insurance - Catastrophes, net of reinsurance, %</t>
  </si>
  <si>
    <t>Business Insurance - Underlying combined ratio, %</t>
  </si>
  <si>
    <t>Segmented Results - Business Insurance (Supplemental)</t>
  </si>
  <si>
    <t>Segmented Results - Bond &amp; Specialty Insurance (Supplemental)</t>
  </si>
  <si>
    <t>Segmented Results - Personal Insurance (Supplemental)</t>
  </si>
  <si>
    <t>Bond &amp; Specialty Insurance - Premiums, mm</t>
  </si>
  <si>
    <t>Bond &amp; Specialty Insurance - Net investment income, mm</t>
  </si>
  <si>
    <t>Bond &amp; Specialty Insurance - Fee income, mm</t>
  </si>
  <si>
    <t>Bond &amp; Specialty Insurance - Other revenues, mm</t>
  </si>
  <si>
    <t>Bond &amp; Specialty Insurance - Total revenues, mm</t>
  </si>
  <si>
    <t>Bond &amp; Specialty Insurance - Claims and claim adjustment expenses, mm</t>
  </si>
  <si>
    <t>Bond &amp; Specialty Insurance - Amortization of deferred acquisition costs, mm</t>
  </si>
  <si>
    <t>Bond &amp; Specialty Insurance - General and administrative expenses, mm</t>
  </si>
  <si>
    <t>Bond &amp; Specialty Insurance - Total claims and expenses, mm</t>
  </si>
  <si>
    <t>Bond &amp; Specialty Insurance - Segment income before income taxes, mm</t>
  </si>
  <si>
    <t>Bond &amp; Specialty Insurance - Income tax expense (benefit), mm</t>
  </si>
  <si>
    <t>Bond &amp; Specialty Insurance - Segment income, mm</t>
  </si>
  <si>
    <t>Bond &amp; Specialty Insurance - Underwriting gain (loss), mm</t>
  </si>
  <si>
    <t>Bond &amp; Specialty Insurance - Net investment income (after-tax), mm</t>
  </si>
  <si>
    <t>Bond &amp; Specialty Insurance - Other income (expense), mm</t>
  </si>
  <si>
    <t>Bond &amp; Specialty Insurance - Loss and LAE ratio, %</t>
  </si>
  <si>
    <t>Bond &amp; Specialty Insurance - Underwriting expense ratio, %</t>
  </si>
  <si>
    <t>Bond &amp; Specialty Insurance - Combined ratio, %</t>
  </si>
  <si>
    <t>Bond &amp; Specialty Insurance - Net (favourable) unfavourable prior year reserve development, %</t>
  </si>
  <si>
    <t>Bond &amp; Specialty Insurance - Catastrophes, net of reinsurance, %</t>
  </si>
  <si>
    <t>Bond &amp; Specialty Insurance - Underlying combined ratio, %</t>
  </si>
  <si>
    <t>Personal Insurance - Premiums, mm</t>
  </si>
  <si>
    <t>Personal Insurance - Net investment income, mm</t>
  </si>
  <si>
    <t>Personal Insurance - Fee income, mm</t>
  </si>
  <si>
    <t>Personal Insurance - Other revenues, mm</t>
  </si>
  <si>
    <t>Personal Insurance - Total revenues, mm</t>
  </si>
  <si>
    <t>Personal Insurance - Claims and claim adjustment expenses, mm</t>
  </si>
  <si>
    <t>Personal Insurance - Amortization of deferred acquisition costs, mm</t>
  </si>
  <si>
    <t>Personal Insurance - General and administrative expenses, mm</t>
  </si>
  <si>
    <t>Personal Insurance - Total claims and expenses, mm</t>
  </si>
  <si>
    <t>Personal Insurance - Segment income before income taxes, mm</t>
  </si>
  <si>
    <t>Personal Insurance - Income tax expense (benefit), mm</t>
  </si>
  <si>
    <t>Personal Insurance - Segment income, mm</t>
  </si>
  <si>
    <t>Personal Insurance - Underwriting gain (loss), mm</t>
  </si>
  <si>
    <t>Personal Insurance - Net investment income (after-tax), mm</t>
  </si>
  <si>
    <t>Personal Insurance - Other income (expense), mm</t>
  </si>
  <si>
    <t>Personal Insurance - Loss and LAE ratio, %</t>
  </si>
  <si>
    <t>Personal Insurance - Underwriting expense ratio, %</t>
  </si>
  <si>
    <t>Personal Insurance - Combined ratio, %</t>
  </si>
  <si>
    <t>Personal Insurance - Net (favourable) unfavourable prior year reserve development, %</t>
  </si>
  <si>
    <t>Personal Insurance - Catastrophes, net of reinsurance, %</t>
  </si>
  <si>
    <t>Personal Insurance - Underlying combined ratio, %</t>
  </si>
  <si>
    <t>Business Insurance - Select Accounts, mm</t>
  </si>
  <si>
    <t>Business Insurance - Middle Market, mm</t>
  </si>
  <si>
    <t>Business Insurance - National Accounts, mm</t>
  </si>
  <si>
    <t>Business Insurance - National Property &amp; Other, mm</t>
  </si>
  <si>
    <t>Business Insurance - Total Domestic, mm</t>
  </si>
  <si>
    <t>Business Insurance - International, mm</t>
  </si>
  <si>
    <t>Business Insurance - Total Net Written Premiums, mm</t>
  </si>
  <si>
    <t>Business Insurance - Workers' compensation, mm</t>
  </si>
  <si>
    <t>Business Insurance - Commercial automobile, mm</t>
  </si>
  <si>
    <t>Business Insurance - Commercial property, mm</t>
  </si>
  <si>
    <t>Business Insurance - General liability, mm</t>
  </si>
  <si>
    <t>Business Insurance - Commercial multi-peril, mm</t>
  </si>
  <si>
    <t>Business Insurance - Other, mm</t>
  </si>
  <si>
    <t>Key Metrics - Business Insurance - Statutory Underwriting (Supplemental)</t>
  </si>
  <si>
    <t>Business Insurance - Gross written premiums, mm</t>
  </si>
  <si>
    <t>Business Insurance - Net written premiums, mm</t>
  </si>
  <si>
    <t>Business Insurance - Net earned premiums, mm</t>
  </si>
  <si>
    <t>Business Insurance - Losses and LAE, mm</t>
  </si>
  <si>
    <t>Business Insurance - Underwriting expenses, mm</t>
  </si>
  <si>
    <t>Business Insurance - Statutory underwriting gain (loss), mm</t>
  </si>
  <si>
    <t>Business Insurance - Policyholder dividends, mm</t>
  </si>
  <si>
    <t>Business Insurance - Statutory underwriting gain (loss) after policyholder dividends, mm</t>
  </si>
  <si>
    <t>Key Metrics - Business Insurance - NWP by Market &amp; Product Line (PR &amp; Supplemental)</t>
  </si>
  <si>
    <t>Key Metrics - Bond &amp; Specialty Insurance - Statutory Underwriting (Supplemental)</t>
  </si>
  <si>
    <t>Key Metrics - Bond &amp; Specialty Insurance - NWP by Market &amp; Product Line (PR &amp; Supplemental)</t>
  </si>
  <si>
    <t>Bond &amp; Specialty Insurance - Management Liability, mm</t>
  </si>
  <si>
    <t>Bond &amp; Specialty Insurance - Surety, mm</t>
  </si>
  <si>
    <t>Bond &amp; Specialty Insurance - Total Domestic, mm</t>
  </si>
  <si>
    <t>Bond &amp; Specialty Insurance - International, mm</t>
  </si>
  <si>
    <t>Bond &amp; Specialty Insurance - Total Net Written Premiums, mm</t>
  </si>
  <si>
    <t>Bond &amp; Specialty Insurance - Fidelity &amp; surety, mm</t>
  </si>
  <si>
    <t>Bond &amp; Specialty Insurance - General liability, mm</t>
  </si>
  <si>
    <t>Bond &amp; Specialty Insurance - Other, mm</t>
  </si>
  <si>
    <t>Bond &amp; Specialty Insurance - Gross written premiums, mm</t>
  </si>
  <si>
    <t>Bond &amp; Specialty Insurance - Net written premiums, mm</t>
  </si>
  <si>
    <t>Bond &amp; Specialty Insurance - Net earned premiums, mm</t>
  </si>
  <si>
    <t>Bond &amp; Specialty Insurance - Losses and LAE, mm</t>
  </si>
  <si>
    <t>Bond &amp; Specialty Insurance - Underwriting expenses, mm</t>
  </si>
  <si>
    <t>Bond &amp; Specialty Insurance - Statutory underwriting gain (loss), mm</t>
  </si>
  <si>
    <t>Bond &amp; Specialty Insurance - Policyholder dividends, mm</t>
  </si>
  <si>
    <t>Bond &amp; Specialty Insurance - Statutory underwriting gain (loss) after policyholder dividends, mm</t>
  </si>
  <si>
    <t>Key Metrics - Personal Insurance - Statutory Underwriting (Supplemental)</t>
  </si>
  <si>
    <t>Personal Insurance - Gross written premiums, mm</t>
  </si>
  <si>
    <t>Personal Insurance - Net written premiums, mm</t>
  </si>
  <si>
    <t>Personal Insurance - Net earned premiums, mm</t>
  </si>
  <si>
    <t>Personal Insurance - Losses and LAE, mm</t>
  </si>
  <si>
    <t>Personal Insurance - Underwriting expenses, mm</t>
  </si>
  <si>
    <t>Personal Insurance - Statutory underwriting gain (loss), mm</t>
  </si>
  <si>
    <t>Personal Insurance - Automobile - Policies in Force, 000s</t>
  </si>
  <si>
    <t>Personal Insurance - Homeowners and Other - Policies in Force, 000s</t>
  </si>
  <si>
    <t>Personal Insurance - Automobile, mm</t>
  </si>
  <si>
    <t>Personal Insurance - Homeowners and other, mm</t>
  </si>
  <si>
    <t>Personal Insurance - Total Agency, mm</t>
  </si>
  <si>
    <t>Personal Insurance - Direct-to-Consumer, mm</t>
  </si>
  <si>
    <t>Personal Insurance - Total Domestic, mm</t>
  </si>
  <si>
    <t>Personal Insurance - International, mm</t>
  </si>
  <si>
    <t>Personal Insurance - Total Net Written Premiums, mm</t>
  </si>
  <si>
    <t>Key Metrics - Personal Insurance - NWP by Market (PR &amp; Supplemental)</t>
  </si>
  <si>
    <t>Business Insurance - First Party, mm</t>
  </si>
  <si>
    <t>Business Insurance - Specialized Distributions, mm</t>
  </si>
  <si>
    <t>Business Insurance policy acquisition expense ratio, %</t>
  </si>
  <si>
    <t>Bond &amp; Specialty Insurance policy acquisition expense ratio, %</t>
  </si>
  <si>
    <t>Personal Insurance policy acquisition expense ratio, %</t>
  </si>
  <si>
    <t>Total Policy Acquisition Expense Ratio, %</t>
  </si>
  <si>
    <t>Total Policy Acquisition Expense, mm</t>
  </si>
  <si>
    <t>Policy Acquisition Expenses</t>
  </si>
  <si>
    <t>Interest Expense &amp; Other - Other revenues, mm</t>
  </si>
  <si>
    <t>Interest Expense &amp; Other - Total revenues, mm</t>
  </si>
  <si>
    <t>Interest Expense &amp; Other - Interest expense, mm</t>
  </si>
  <si>
    <t>Interest Expense &amp; Other - General and administrative expenses, mm</t>
  </si>
  <si>
    <t>Interest Expense &amp; Other - Total claims and expenses, mm</t>
  </si>
  <si>
    <t>Interest Expense &amp; Other - Loss before income tax benefit, mm</t>
  </si>
  <si>
    <t>Interest Expense &amp; Other - Income tax benefit, mm</t>
  </si>
  <si>
    <t>Interest Expense &amp; Other - Loss, mm</t>
  </si>
  <si>
    <t>Segmented Results - Interest Expense &amp; Other (Supplemental)</t>
  </si>
  <si>
    <t>Business Insurance policy acquisition expenses, mm</t>
  </si>
  <si>
    <t>Bond &amp; Specialty Insurance policy acquisition expenses, mm</t>
  </si>
  <si>
    <t>Personal Insurance policy acquisition expenses, mm</t>
  </si>
  <si>
    <t>Q1-2020</t>
  </si>
  <si>
    <t>OG</t>
  </si>
  <si>
    <t>Capital Resources</t>
  </si>
  <si>
    <t>Short-term debt</t>
  </si>
  <si>
    <t>Long-term debt</t>
  </si>
  <si>
    <t>Total Debt</t>
  </si>
  <si>
    <t>Total Shareholders' Equity</t>
  </si>
  <si>
    <t>Total Capitalization</t>
  </si>
  <si>
    <t>Debt to Capital Ratio, %</t>
  </si>
  <si>
    <t>Net Debt Issuance (Repayment)</t>
  </si>
  <si>
    <t>Net Share Issuance (Buybacks)</t>
  </si>
  <si>
    <t>Estimated Share Price for Issuance/Buybacks, USD</t>
  </si>
  <si>
    <t>Effective Interest Rate on Debt, %</t>
  </si>
  <si>
    <t>Core Income</t>
  </si>
  <si>
    <t>Core Income Per Share - WAD</t>
  </si>
  <si>
    <t>Net unrealized investment gains, net of tax, included in shareholders’ equity</t>
  </si>
  <si>
    <t>Impact of deferred tax on other intangible assets</t>
  </si>
  <si>
    <t>Q2-2020</t>
  </si>
  <si>
    <t>Deferred Acquisition Costs and Value of Business Acquired</t>
  </si>
  <si>
    <t>DAC and VOBA, mm</t>
  </si>
  <si>
    <t>Policy Acquisition Expense Incurred, mm</t>
  </si>
  <si>
    <t>Policy Acquisition Expense Paid - Implied, mm</t>
  </si>
  <si>
    <t>Change in DAC and VOBA, mm</t>
  </si>
  <si>
    <t>Policy Acquisition Expense Payout Ratio, %</t>
  </si>
  <si>
    <t>DAC/VOBA = DAC/VOBA in BS</t>
  </si>
  <si>
    <t>Q3-2020</t>
  </si>
  <si>
    <t>Refinitiv</t>
  </si>
  <si>
    <t>FY2020</t>
  </si>
  <si>
    <t>Initial (Press Release)</t>
  </si>
  <si>
    <t>Q1-2021</t>
  </si>
  <si>
    <t>Restated</t>
  </si>
  <si>
    <t>Q2-2021</t>
  </si>
  <si>
    <t>Impact of changes in tax laws and/or tax rates</t>
  </si>
  <si>
    <t>Business Insurance loss and LAE ratio excl. PYD &amp; CAT, %</t>
  </si>
  <si>
    <t>Bond &amp; Specialty Insurance loss and LAE ratio excl. PYD &amp; CAT, %</t>
  </si>
  <si>
    <t>Personal Insurance loss and LAE ratio excl. PYD &amp; CAT, %</t>
  </si>
  <si>
    <t>Business Insurance - Net (favourable) unfavourable prior year reserve development, mm</t>
  </si>
  <si>
    <t>Business Insurance - Catastrophes, net of reinsurance, mm</t>
  </si>
  <si>
    <t>Bond &amp; Specialty Insurance - Net (favourable) unfavourable prior year reserve development, mm</t>
  </si>
  <si>
    <t>Bond &amp; Specialty Insurance - Catastrophes, net of reinsurance, mm</t>
  </si>
  <si>
    <t>Personal Insurance - Net (favourable) unfavourable prior year reserve development, mm</t>
  </si>
  <si>
    <t>Personal Insurance - Catastrophes, net of reinsurance, mm</t>
  </si>
  <si>
    <t>Total Net (favourable) unfavourable prior year reserve development, mm</t>
  </si>
  <si>
    <t>Total Catastrophes, net of reinsurance, mm</t>
  </si>
  <si>
    <t>Total loss and LAE ratio excl. PYD &amp; CAT, %</t>
  </si>
  <si>
    <t>Net (favourable) unfavourable prior year reserve development, %</t>
  </si>
  <si>
    <t>Catastrophes, net of reinsurance, %</t>
  </si>
  <si>
    <t>Total Combined Ratio excl. PYD &amp; CAT, %</t>
  </si>
  <si>
    <t>Total Underwriting Income excl. PYD &amp; CAT, mm</t>
  </si>
  <si>
    <t>Total Other Income, mm</t>
  </si>
  <si>
    <t>Fee income, mm</t>
  </si>
  <si>
    <t>Other revenues, mm</t>
  </si>
  <si>
    <t>Y/Y Other Income Growth, %</t>
  </si>
  <si>
    <t>Business Insurance loss and LAE excl. PYD &amp; CAT, mm</t>
  </si>
  <si>
    <t>Bond &amp; Specialty Insurance loss and LAE excl. PYD &amp; CAT, mm</t>
  </si>
  <si>
    <t>Personal Insurance loss and LAE excl. PYD &amp; CAT, mm</t>
  </si>
  <si>
    <t>Total loss and LAE excl. PYD &amp; CAT, mm</t>
  </si>
  <si>
    <t>Q3-2021</t>
  </si>
  <si>
    <t>HN</t>
  </si>
  <si>
    <t>FY2021</t>
  </si>
  <si>
    <t>SL</t>
  </si>
  <si>
    <t>Q1-2022</t>
  </si>
  <si>
    <t>Last Working Day In Period</t>
  </si>
  <si>
    <t>Stock Price EoP</t>
  </si>
  <si>
    <t>FX EoP</t>
  </si>
  <si>
    <t>TRV_US</t>
  </si>
  <si>
    <t>Q2-2022</t>
  </si>
  <si>
    <t>Share Count Analysis</t>
  </si>
  <si>
    <t>Q3-2022</t>
  </si>
  <si>
    <t>FY2022</t>
  </si>
  <si>
    <t>SHK</t>
  </si>
  <si>
    <t>OFF</t>
  </si>
  <si>
    <t>Key Metrics - Employees (FS)</t>
  </si>
  <si>
    <t>Total Employees, # of employees</t>
  </si>
  <si>
    <t>KPI Data</t>
  </si>
  <si>
    <t>MO_RIS_REV</t>
  </si>
  <si>
    <t>MO_RIS_NI_NONGAAP_Diluted</t>
  </si>
  <si>
    <t>MO_RIS_EPS_WAD_Adj</t>
  </si>
  <si>
    <t>MO_OS_EmployeeCount</t>
  </si>
  <si>
    <t>KPI Count</t>
  </si>
  <si>
    <t>Apply Trade Currency Scaling</t>
  </si>
  <si>
    <t>Q1-2023</t>
  </si>
  <si>
    <t>AS</t>
  </si>
  <si>
    <t>Q2-2023</t>
  </si>
  <si>
    <t>FV</t>
  </si>
  <si>
    <t>Q3-2023</t>
  </si>
  <si>
    <t>Net realized investment (gains) losses</t>
  </si>
  <si>
    <t>Net realized investment (gains) losses, after-tax</t>
  </si>
  <si>
    <t>Q/Q basic share expansion from dilutive securities, %</t>
  </si>
  <si>
    <t>Y/Y basic share expansion from dilutive securities, %</t>
  </si>
  <si>
    <t>Q/Q basic share expansion from share issuance (buyback), %</t>
  </si>
  <si>
    <t>Y/Y basic share expansion from share issuance (buyback), %</t>
  </si>
  <si>
    <t>Q/Q basic share expansion - EoP, %</t>
  </si>
  <si>
    <t>Y/Y basic share expansion - EoP, %</t>
  </si>
  <si>
    <t>Diluted share count to basic share count ratio, x</t>
  </si>
  <si>
    <t>EoP</t>
  </si>
  <si>
    <t>Dilutive Shares, mm shares</t>
  </si>
  <si>
    <t>Cover Page Common Stock Outstanding, mm shares</t>
  </si>
  <si>
    <t>Date of Cover Page Share Count, date</t>
  </si>
  <si>
    <t>EoP Common Stock Outstanding, mm shares</t>
  </si>
  <si>
    <t>EoP Total Diluted Common Stock Outstanding, mm shares</t>
  </si>
  <si>
    <t>Cash paid for interest</t>
  </si>
  <si>
    <t>Cash paid for income taxes</t>
  </si>
  <si>
    <t>Quarterly Guidance Table</t>
  </si>
  <si>
    <t>Reporting Date</t>
  </si>
  <si>
    <t>Applicable Period</t>
  </si>
  <si>
    <t>Annual Guidance Table</t>
  </si>
  <si>
    <t>Is Latest</t>
  </si>
  <si>
    <t>MO_KPI_GWP</t>
  </si>
  <si>
    <t>MO_KPI_NWP</t>
  </si>
  <si>
    <t>MO_KPI_NEP</t>
  </si>
  <si>
    <t>MO_KPI_UI</t>
  </si>
  <si>
    <t>MO_KPI_LossRatio</t>
  </si>
  <si>
    <t>MO_KPI_PAERatio</t>
  </si>
  <si>
    <t>MO_KPI_CombinedRatio</t>
  </si>
  <si>
    <t>MO_KPI_InvestmentBalance</t>
  </si>
  <si>
    <t>MO_KPI_NetIIYield</t>
  </si>
  <si>
    <t>MO_BSS_NTR</t>
  </si>
  <si>
    <t>MO_KPI_CWP</t>
  </si>
  <si>
    <t>MO_KPI_Loss_exCATS</t>
  </si>
  <si>
    <t>MO_KPI_Loss</t>
  </si>
  <si>
    <t>MO_KPI_PAE</t>
  </si>
  <si>
    <t>MO_KPI_OOE</t>
  </si>
  <si>
    <t>MO_KPI_UnderwritingExpense</t>
  </si>
  <si>
    <t>MO_KPI_NRR</t>
  </si>
  <si>
    <t>MO_KPI_WPERatio</t>
  </si>
  <si>
    <t>MO_KPI_OOERatio</t>
  </si>
  <si>
    <t>MO_KPI_DAC</t>
  </si>
  <si>
    <t>MO_KPI_GUPR</t>
  </si>
  <si>
    <t>MO_KPI_CUP</t>
  </si>
  <si>
    <t>MO_KPI_NUPR</t>
  </si>
  <si>
    <t>MO_KPI_GLR</t>
  </si>
  <si>
    <t>MO_KPI_RR</t>
  </si>
  <si>
    <t>MO_KPI_NLR</t>
  </si>
  <si>
    <t>MO_KPI_NetII</t>
  </si>
  <si>
    <t>MO_KPI_NetIG</t>
  </si>
  <si>
    <t>MO_BSS_ReserveRatio</t>
  </si>
  <si>
    <t>MO_BSS_SolvencyRatio</t>
  </si>
  <si>
    <t>MO_BSS_BVPS</t>
  </si>
  <si>
    <t>MO_BSS_TBVPS</t>
  </si>
  <si>
    <t>MO_BSS_ROA</t>
  </si>
  <si>
    <t>MO_BSS_ROE</t>
  </si>
  <si>
    <t>MO_BSS_ROTE</t>
  </si>
  <si>
    <t>MO_CR_TotalCapitalization</t>
  </si>
  <si>
    <t>MO_CR_Debt_ToCapitalRatio</t>
  </si>
  <si>
    <t>MO_DS_PayoutRatio</t>
  </si>
  <si>
    <t>FY2023</t>
  </si>
  <si>
    <t>KuB</t>
  </si>
  <si>
    <t>AHA</t>
  </si>
  <si>
    <t>Q1-2024</t>
  </si>
  <si>
    <t>Need to update your model? Do it in one click with the Updater tool:</t>
  </si>
  <si>
    <t>Tegus Excel Add-in</t>
  </si>
  <si>
    <t>Tegus</t>
  </si>
  <si>
    <t>Q2-2024</t>
  </si>
  <si>
    <t>KKR</t>
  </si>
  <si>
    <t>Q3-2024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</si>
</sst>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6">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0.0_);_(* \(#,##0.0\);_(* &quot;-&quot;??_);_(@_)"/>
    <numFmt numFmtId="169" formatCode="_(&quot;$&quot;* #,##0_);_(&quot;$&quot;* \(#,##0\);_(&quot;$&quot;* &quot;-&quot;??_);_(@_)"/>
    <numFmt numFmtId="170" formatCode="_(* #,##0_);_(* \(#,##0\);_(* &quot;-&quot;??_);_(@_)"/>
    <numFmt numFmtId="171" formatCode="_(* 0.0%_);_(* \-0.0%_);_(* &quot;-&quot;??_);_(@_)"/>
    <numFmt numFmtId="172" formatCode="_(* #,##0.0_);_(* \(#,##0.0\);_(* &quot;-&quot;??_);@"/>
    <numFmt numFmtId="173" formatCode="_(&quot;$&quot;* 0.00_);_(&quot;$&quot;* \(0.00\);_(&quot;$&quot;* &quot;-&quot;??_);_(@_)"/>
    <numFmt numFmtId="174" formatCode="_(* 0.0\ \x_);\ _(* &quot;n/a&quot;_);_(* &quot;-&quot;??_);_(@_)"/>
    <numFmt numFmtId="175" formatCode="_(@_)"/>
    <numFmt numFmtId="176" formatCode=";;;"/>
    <numFmt numFmtId="177" formatCode="_(&quot;$&quot;* #,##0.000_);_(&quot;$&quot;* \(#,##0.000\);_(&quot;$&quot;* &quot;-&quot;??_);_(@_)"/>
    <numFmt numFmtId="178" formatCode="_(* #,##0.0_);_(* \(#,##0.0\);_(* &quot;-&quot;??_);_(&quot;Bloomberg &gt;&gt; &quot;@_)"/>
    <numFmt numFmtId="179" formatCode="_(* #,##0.0_);_(* \(#,##0.0\);_(* &quot;-&quot;??_);_(&quot;Capital IQ &gt;&gt; &quot;@_)"/>
    <numFmt numFmtId="180" formatCode="_(* #,##0.0_);_(* \(#,##0.0\);_(* &quot;-&quot;??_);_(&quot;FactSet &gt;&gt; &quot;@_)"/>
    <numFmt numFmtId="181" formatCode="_(* #,##0.0_);_(* \(#,##0.0\);_(* &quot;-&quot;??_);_(&quot;Ticker :   &quot;@_)"/>
    <numFmt numFmtId="182" formatCode="_(* 0.00%_);_(* \-0.00%_);_(* &quot;-&quot;??_);_(@_)"/>
    <numFmt numFmtId="183" formatCode="_(* #,##0.0_);_(* \(#,##0.0\);_(* &quot;-&quot;??_);_(&quot;Model Sheet Currency :   &quot;@_)"/>
    <numFmt numFmtId="184" formatCode="_(* #,##0.0_);_(* \(#,##0.0\);_(* &quot;-&quot;??_);_(&quot;Canalyst Security Identification #: &quot;@_)"/>
    <numFmt numFmtId="185" formatCode="_(* #,##0.0_);_(* \(#,##0.0\);_(* &quot;-&quot;??_);_(&quot;Model Version #: &quot;@_)"/>
    <numFmt numFmtId="186" formatCode="_(* #,##0.0_);_(* \(#,##0.0\);_(* &quot; - &quot;??_);_(&quot;Last Price (&quot;@&quot;) &quot;_)"/>
    <numFmt numFmtId="187" formatCode="_(* #,##0.0_);_(* \(#,##0.0\);_(* &quot;-&quot;??_);_(&quot;Real-Time Stock Price :   &quot;@_)"/>
    <numFmt numFmtId="188" formatCode="_(&quot;$&quot;* 0.00_);_(&quot;$&quot;* \(0.00\);_(&quot;$&quot;* &quot; - &quot;??_);_(@_)"/>
    <numFmt numFmtId="189" formatCode="_(* #,##0.000_);_(* \(#,##0.000\);_(* &quot;-&quot;??_);_(@_)"/>
    <numFmt numFmtId="190" formatCode="&quot;Most Recent Period:&quot;"/>
    <numFmt numFmtId="191" formatCode="_(* #,##0.0_);_(* \(#,##0.0\);_(* &quot; -&quot;??_);_(&quot;Refinitiv &gt;&gt; &quot;@_)"/>
    <numFmt numFmtId="192" formatCode="yyyy\-mm\-dd"/>
    <numFmt numFmtId="193" formatCode="_(\$* 0.00_);_(\$* \(0.00\);_(\$* &quot; - &quot;??_);_(@_)"/>
    <numFmt numFmtId="194" formatCode="_(&quot;$&quot;* #,##0.00_);_(&quot;$&quot;* \(#,##0.00\);_(&quot;$&quot;* &quot; - &quot;??_);_(@_)"/>
    <numFmt numFmtId="195" formatCode="m\-d\-yy"/>
    <numFmt numFmtId="196" formatCode="_(\$* 0.00_);_(\$* \(0.00\);_(\$* &quot;-&quot;??_);_(@\ * \ &quot;Toggle  &gt;&gt;&gt;&quot;_)"/>
    <numFmt numFmtId="197" formatCode="_(* 0.00\ \x_);\ _(* &quot;n/a&quot;_);_(* &quot;-&quot;??_);_(@_)"/>
    <numFmt numFmtId="198" formatCode="m/d/yy"/>
    <numFmt numFmtId="199" formatCode="_(* #,##0.0_);_(* \(#,##0.0\);_(* &quot;-&quot;??_);_(&quot;Tegus Ticker &gt;&gt; &quot;@_)"/>
  </numFmts>
  <fonts count="48">
    <font>
      <sz val="11"/>
      <name val="Calibri"/>
      <family val="2"/>
    </font>
    <font>
      <sz val="10"/>
      <color theme="1"/>
      <name val="Arial"/>
      <family val="2"/>
    </font>
    <font>
      <sz val="11"/>
      <color theme="1"/>
      <name val="Calibri"/>
      <family val="2"/>
      <scheme val="minor"/>
    </font>
    <font>
      <b/>
      <sz val="11"/>
      <color theme="1"/>
      <name val="Calibri"/>
      <family val="2"/>
      <scheme val="minor"/>
    </font>
    <font>
      <u val="single"/>
      <sz val="11"/>
      <color theme="10"/>
      <name val="Calibri"/>
      <family val="2"/>
      <scheme val="minor"/>
    </font>
    <font>
      <i/>
      <sz val="11"/>
      <color theme="1"/>
      <name val="Calibri"/>
      <family val="2"/>
      <scheme val="minor"/>
    </font>
    <font>
      <b/>
      <sz val="11"/>
      <name val="Calibri"/>
      <family val="2"/>
      <scheme val="minor"/>
    </font>
    <font>
      <b/>
      <sz val="11"/>
      <name val="Calibri"/>
      <family val="2"/>
    </font>
    <font>
      <sz val="11"/>
      <name val="Calibri"/>
      <family val="2"/>
      <scheme val="minor"/>
    </font>
    <font>
      <sz val="11"/>
      <color rgb="FFFF0000"/>
      <name val="Calibri"/>
      <family val="2"/>
    </font>
    <font>
      <sz val="22"/>
      <color theme="1"/>
      <name val="Calibri"/>
      <family val="2"/>
      <scheme val="minor"/>
    </font>
    <font>
      <u val="single"/>
      <sz val="11"/>
      <color theme="10"/>
      <name val="Calibri"/>
      <family val="2"/>
    </font>
    <font>
      <sz val="14"/>
      <color theme="1"/>
      <name val="Calibri"/>
      <family val="2"/>
      <scheme val="minor"/>
    </font>
    <font>
      <b/>
      <sz val="11"/>
      <color rgb="FFFF0000"/>
      <name val="Calibri"/>
      <family val="2"/>
    </font>
    <font>
      <sz val="11"/>
      <color rgb="FF006100"/>
      <name val="Calibri"/>
      <family val="2"/>
      <scheme val="minor"/>
    </font>
    <font>
      <sz val="10"/>
      <color theme="1"/>
      <name val="Calibri"/>
      <family val="2"/>
      <scheme val="minor"/>
    </font>
    <font>
      <b/>
      <sz val="10"/>
      <color theme="1"/>
      <name val="Calibri"/>
      <family val="2"/>
      <scheme val="minor"/>
    </font>
    <font>
      <b/>
      <sz val="14"/>
      <color theme="1"/>
      <name val="Calibri"/>
      <family val="2"/>
      <scheme val="minor"/>
    </font>
    <font>
      <sz val="14"/>
      <name val="Calibri"/>
      <family val="2"/>
      <scheme val="minor"/>
    </font>
    <font>
      <i/>
      <sz val="11"/>
      <name val="Calibri"/>
      <family val="2"/>
    </font>
    <font>
      <sz val="11"/>
      <color rgb="FF000000"/>
      <name val="Calibri"/>
      <family val="2"/>
      <scheme val="minor"/>
    </font>
    <font>
      <i/>
      <sz val="11"/>
      <color rgb="FFFF0000"/>
      <name val="Calibri"/>
      <family val="2"/>
    </font>
    <font>
      <b/>
      <sz val="11"/>
      <color rgb="FFFFFFFF"/>
      <name val="Calibri"/>
      <family val="2"/>
    </font>
    <font>
      <i/>
      <sz val="11"/>
      <color rgb="FF000000"/>
      <name val="Calibri"/>
      <family val="2"/>
    </font>
    <font>
      <u val="single"/>
      <sz val="22"/>
      <color theme="10"/>
      <name val="Calibri"/>
      <family val="2"/>
      <scheme val="minor"/>
    </font>
    <font>
      <sz val="11"/>
      <color rgb="FF000000"/>
      <name val="Calibri"/>
      <family val="2"/>
    </font>
    <font>
      <b/>
      <sz val="11"/>
      <color rgb="FF000000"/>
      <name val="Calibri"/>
      <family val="2"/>
    </font>
    <font>
      <b/>
      <sz val="11"/>
      <color theme="1"/>
      <name val="Calibri"/>
      <family val="2"/>
    </font>
    <font>
      <sz val="11"/>
      <color theme="1"/>
      <name val="Calibri"/>
      <family val="2"/>
    </font>
    <font>
      <i/>
      <sz val="11"/>
      <color rgb="FF000000"/>
      <name val="Calibri"/>
      <family val="2"/>
      <scheme val="minor"/>
    </font>
    <font>
      <sz val="10"/>
      <color theme="0"/>
      <name val="Calibri"/>
      <family val="2"/>
      <scheme val="minor"/>
    </font>
    <font>
      <b/>
      <sz val="11"/>
      <color rgb="FF000000"/>
      <name val="Calibri"/>
      <family val="2"/>
      <scheme val="minor"/>
    </font>
    <font>
      <b/>
      <sz val="11"/>
      <color rgb="FFFFFFFF"/>
      <name val="Calibri"/>
      <family val="2"/>
      <scheme val="minor"/>
    </font>
    <font>
      <b/>
      <i/>
      <sz val="11"/>
      <color rgb="FF000000"/>
      <name val="Calibri"/>
      <family val="2"/>
    </font>
    <font>
      <b/>
      <i/>
      <sz val="11"/>
      <color rgb="FF000000"/>
      <name val="Calibri"/>
      <family val="2"/>
      <scheme val="minor"/>
    </font>
    <font>
      <sz val="11"/>
      <color rgb="FFFFFFFF"/>
      <name val="Calibri"/>
      <family val="2"/>
    </font>
    <font>
      <u val="single"/>
      <sz val="22"/>
      <color rgb="FF000000"/>
      <name val="Calibri"/>
      <family val="2"/>
      <scheme val="minor"/>
    </font>
    <font>
      <u val="single"/>
      <sz val="14"/>
      <color rgb="FF0000FF"/>
      <name val="Calibri"/>
      <family val="2"/>
      <scheme val="minor"/>
    </font>
    <font>
      <b/>
      <sz val="9"/>
      <name val="Tahoma"/>
      <family val="2"/>
    </font>
    <font>
      <sz val="9"/>
      <name val="Tahoma"/>
      <family val="2"/>
    </font>
    <font>
      <sz val="7"/>
      <color rgb="FF000000"/>
      <name val="Calibri"/>
      <family val="2"/>
      <scheme val="minor"/>
    </font>
    <font>
      <b/>
      <sz val="7"/>
      <color rgb="FF000000"/>
      <name val="Calibri"/>
      <family val="2"/>
      <scheme val="minor"/>
    </font>
    <font>
      <b/>
      <sz val="14"/>
      <color rgb="FFD04B35"/>
      <name val="Calibri"/>
      <family val="2"/>
      <scheme val="minor"/>
    </font>
    <font>
      <u val="single"/>
      <sz val="14"/>
      <color theme="10"/>
      <name val="Calibri"/>
      <family val="2"/>
      <scheme val="minor"/>
    </font>
    <font>
      <b/>
      <sz val="11"/>
      <color rgb="FF0000FC"/>
      <name val="Calibri"/>
      <family val="2"/>
    </font>
    <font>
      <i/>
      <sz val="11"/>
      <color rgb="FF0000FC"/>
      <name val="Calibri"/>
      <family val="2"/>
    </font>
    <font>
      <sz val="11"/>
      <color rgb="FF0000FC"/>
      <name val="Calibri"/>
      <family val="2"/>
    </font>
    <font>
      <sz val="11"/>
      <color rgb="FF0000FC"/>
      <name val="Calibri"/>
      <family val="2"/>
      <scheme val="minor"/>
    </font>
  </fonts>
  <fills count="9">
    <fill>
      <patternFill patternType="none"/>
    </fill>
    <fill>
      <patternFill patternType="gray125"/>
    </fill>
    <fill>
      <patternFill patternType="solid">
        <fgColor rgb="FFC6EFCE"/>
        <bgColor indexed="64"/>
      </patternFill>
    </fill>
    <fill>
      <patternFill patternType="solid">
        <fgColor rgb="FFFFFFFF"/>
        <bgColor indexed="64"/>
      </patternFill>
    </fill>
    <fill>
      <patternFill patternType="solid">
        <fgColor rgb="FF89E0FF"/>
        <bgColor indexed="64"/>
      </patternFill>
    </fill>
    <fill>
      <patternFill patternType="solid">
        <fgColor rgb="FF000000"/>
        <bgColor indexed="64"/>
      </patternFill>
    </fill>
    <fill>
      <patternFill patternType="solid">
        <fgColor rgb="FFD0F9F2"/>
        <bgColor indexed="64"/>
      </patternFill>
    </fill>
    <fill>
      <patternFill patternType="solid">
        <fgColor rgb="FFECEDF0"/>
        <bgColor indexed="64"/>
      </patternFill>
    </fill>
    <fill>
      <patternFill patternType="solid">
        <fgColor rgb="FFF2F2F2"/>
        <bgColor indexed="64"/>
      </patternFill>
    </fill>
  </fills>
  <borders count="36">
    <border>
      <left/>
      <right/>
      <top/>
      <bottom/>
      <diagonal/>
    </border>
    <border>
      <left/>
      <right style="thin">
        <color auto="1"/>
      </right>
      <top/>
      <bottom style="thin">
        <color auto="1"/>
      </bottom>
    </border>
    <border>
      <left/>
      <right/>
      <top/>
      <bottom style="thin">
        <color auto="1"/>
      </bottom>
    </border>
    <border>
      <left style="thin">
        <color auto="1"/>
      </left>
      <right/>
      <top/>
      <bottom style="thin">
        <color auto="1"/>
      </bottom>
    </border>
    <border>
      <left/>
      <right style="thin">
        <color auto="1"/>
      </right>
      <top/>
      <bottom/>
    </border>
    <border>
      <left style="thin">
        <color auto="1"/>
      </left>
      <right/>
      <top/>
      <bottom/>
    </border>
    <border>
      <left/>
      <right style="thin">
        <color auto="1"/>
      </right>
      <top style="thin">
        <color auto="1"/>
      </top>
      <bottom/>
    </border>
    <border>
      <left/>
      <right/>
      <top style="thin">
        <color auto="1"/>
      </top>
      <bottom/>
    </border>
    <border>
      <left style="thin">
        <color auto="1"/>
      </left>
      <right/>
      <top style="thin">
        <color auto="1"/>
      </top>
      <bottom/>
    </border>
    <border>
      <left/>
      <right/>
      <top style="thin">
        <color auto="1"/>
      </top>
      <bottom style="thin">
        <color auto="1"/>
      </bottom>
    </border>
    <border>
      <left/>
      <right style="thin">
        <color rgb="FF000000"/>
      </right>
      <top/>
      <bottom/>
    </border>
    <border>
      <left style="thin">
        <color rgb="FF000000"/>
      </left>
      <right/>
      <top/>
      <bottom/>
    </border>
    <border>
      <left/>
      <right/>
      <top style="thin">
        <color rgb="FF000000"/>
      </top>
      <bottom/>
    </border>
    <border>
      <left/>
      <right/>
      <top/>
      <bottom style="thin">
        <color rgb="FF000000"/>
      </bottom>
    </border>
    <border>
      <left/>
      <right style="thin">
        <color rgb="FF000000"/>
      </right>
      <top style="thin">
        <color rgb="FF000000"/>
      </top>
      <bottom/>
    </border>
    <border>
      <left style="thin">
        <color rgb="FF000000"/>
      </left>
      <right/>
      <top style="thin">
        <color rgb="FF000000"/>
      </top>
      <bottom/>
    </border>
    <border>
      <left/>
      <right/>
      <top style="thin">
        <color rgb="FF000000"/>
      </top>
      <bottom style="thin">
        <color rgb="FF000000"/>
      </bottom>
    </border>
    <border>
      <left style="thin">
        <color auto="1"/>
      </left>
      <right style="thin">
        <color auto="1"/>
      </right>
      <top style="thin">
        <color auto="1"/>
      </top>
      <bottom/>
    </border>
    <border>
      <left style="thin">
        <color auto="1"/>
      </left>
      <right style="thin">
        <color auto="1"/>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auto="1"/>
      </left>
      <right style="thin">
        <color auto="1"/>
      </right>
      <top/>
      <bottom style="thin">
        <color auto="1"/>
      </bottom>
    </border>
    <border>
      <left/>
      <right style="thick">
        <color auto="1"/>
      </right>
      <top/>
      <bottom/>
    </border>
    <border>
      <left/>
      <right style="thick">
        <color auto="1"/>
      </right>
      <top/>
      <bottom style="thin">
        <color rgb="FF000000"/>
      </bottom>
    </border>
    <border>
      <left/>
      <right style="thick">
        <color auto="1"/>
      </right>
      <top/>
      <bottom style="thin">
        <color auto="1"/>
      </bottom>
    </border>
    <border>
      <left/>
      <right style="thick">
        <color auto="1"/>
      </right>
      <top style="thin">
        <color rgb="FF000000"/>
      </top>
      <bottom style="thin">
        <color rgb="FF000000"/>
      </bottom>
    </border>
    <border>
      <left/>
      <right style="thick">
        <color auto="1"/>
      </right>
      <top style="thin">
        <color rgb="FF000000"/>
      </top>
      <bottom/>
    </border>
    <border>
      <left style="thin">
        <color rgb="FF000000"/>
      </left>
      <right/>
      <top/>
      <bottom style="thin">
        <color auto="1"/>
      </bottom>
    </border>
    <border>
      <left/>
      <right style="thin">
        <color rgb="FF000000"/>
      </right>
      <top/>
      <bottom style="thin">
        <color auto="1"/>
      </bottom>
    </border>
    <border>
      <left/>
      <right style="thick">
        <color auto="1"/>
      </right>
      <top style="thin">
        <color auto="1"/>
      </top>
      <bottom/>
    </border>
    <border>
      <left style="thin">
        <color auto="1"/>
      </left>
      <right style="thin">
        <color auto="1"/>
      </right>
      <top style="thin">
        <color auto="1"/>
      </top>
      <bottom style="thin">
        <color auto="1"/>
      </bottom>
    </border>
    <border>
      <left style="thin">
        <color rgb="FF000000"/>
      </left>
      <right style="thin">
        <color auto="1"/>
      </right>
      <top/>
      <bottom style="thin">
        <color rgb="FF000000"/>
      </bottom>
    </border>
    <border>
      <left style="thin">
        <color auto="1"/>
      </left>
      <right style="thin">
        <color auto="1"/>
      </right>
      <top/>
      <bottom style="thin">
        <color rgb="FF000000"/>
      </bottom>
    </border>
    <border>
      <left/>
      <right style="thin">
        <color rgb="FF000000"/>
      </right>
      <top/>
      <bottom style="thin">
        <color rgb="FF000000"/>
      </bottom>
    </border>
    <border>
      <left style="thin">
        <color auto="1"/>
      </left>
      <right style="thin">
        <color rgb="FF000000"/>
      </right>
      <top/>
      <bottom style="thin">
        <color rgb="FF000000"/>
      </bottom>
    </border>
    <border>
      <left/>
      <right style="thick">
        <color auto="1"/>
      </right>
      <top style="thin">
        <color auto="1"/>
      </top>
      <bottom style="thin">
        <color auto="1"/>
      </bottom>
    </border>
  </borders>
  <cellStyleXfs count="38">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166" fontId="0" fillId="0" borderId="0">
      <alignment/>
      <protection/>
    </xf>
    <xf numFmtId="164"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6" fontId="2" fillId="0" borderId="0">
      <alignment/>
      <protection/>
    </xf>
    <xf numFmtId="166" fontId="0" fillId="0" borderId="0">
      <alignment/>
      <protection/>
    </xf>
    <xf numFmtId="166" fontId="2" fillId="0" borderId="0">
      <alignment/>
      <protection/>
    </xf>
    <xf numFmtId="166" fontId="2" fillId="0" borderId="0">
      <alignment/>
      <protection/>
    </xf>
    <xf numFmtId="0" fontId="14" fillId="2" borderId="0">
      <alignment/>
      <protection/>
    </xf>
    <xf numFmtId="0" fontId="4" fillId="0" borderId="0">
      <alignment/>
      <protection/>
    </xf>
    <xf numFmtId="0" fontId="11" fillId="0" borderId="0">
      <alignment vertical="top"/>
      <protection locked="0"/>
    </xf>
    <xf numFmtId="0" fontId="2" fillId="0" borderId="0">
      <alignment/>
      <protection/>
    </xf>
    <xf numFmtId="0" fontId="2" fillId="0" borderId="0">
      <alignment/>
      <protection/>
    </xf>
    <xf numFmtId="0" fontId="2" fillId="0" borderId="0">
      <alignment/>
      <protection/>
    </xf>
    <xf numFmtId="0" fontId="2" fillId="0" borderId="0">
      <alignment/>
      <protection/>
    </xf>
    <xf numFmtId="0" fontId="2" fillId="0" borderId="0">
      <alignment/>
      <protection/>
    </xf>
    <xf numFmtId="0" fontId="2" fillId="0" borderId="0">
      <alignment/>
      <protection/>
    </xf>
    <xf numFmtId="0" fontId="0" fillId="0" borderId="0">
      <alignment/>
      <protection/>
    </xf>
    <xf numFmtId="0" fontId="2" fillId="0" borderId="0">
      <alignment/>
      <protection/>
    </xf>
    <xf numFmtId="9" fontId="2" fillId="0" borderId="0">
      <alignment/>
      <protection/>
    </xf>
    <xf numFmtId="9" fontId="2" fillId="0" borderId="0">
      <alignment/>
      <protection/>
    </xf>
    <xf numFmtId="9" fontId="2" fillId="0" borderId="0">
      <alignment/>
      <protection/>
    </xf>
  </cellStyleXfs>
  <cellXfs count="1130">
    <xf numFmtId="0" fontId="0" fillId="0" borderId="0" xfId="0" applyNumberFormat="1" applyFont="1" applyFill="1" applyBorder="1"/>
    <xf numFmtId="0" fontId="15" fillId="3" borderId="0" xfId="30" applyNumberFormat="1" applyFont="1" applyFill="1" applyBorder="1">
      <alignment/>
      <protection/>
    </xf>
    <xf numFmtId="0" fontId="2" fillId="0" borderId="0" xfId="30" applyNumberFormat="1" applyFont="1" applyFill="1" applyBorder="1">
      <alignment/>
      <protection/>
    </xf>
    <xf numFmtId="0" fontId="2" fillId="3" borderId="0" xfId="30" applyNumberFormat="1" applyFont="1" applyFill="1" applyBorder="1">
      <alignment/>
      <protection/>
    </xf>
    <xf numFmtId="175" fontId="2" fillId="3" borderId="0" xfId="30" applyNumberFormat="1" applyFont="1" applyFill="1" applyBorder="1" applyAlignment="1" quotePrefix="1">
      <alignment horizontal="left" vertical="top" wrapText="1"/>
      <protection/>
    </xf>
    <xf numFmtId="0" fontId="2" fillId="3" borderId="1" xfId="30" applyNumberFormat="1" applyFont="1" applyFill="1" applyBorder="1" applyAlignment="1">
      <alignment vertical="top" wrapText="1"/>
      <protection/>
    </xf>
    <xf numFmtId="0" fontId="2" fillId="3" borderId="2" xfId="30" applyNumberFormat="1" applyFont="1" applyFill="1" applyBorder="1" applyAlignment="1">
      <alignment vertical="top" wrapText="1"/>
      <protection/>
    </xf>
    <xf numFmtId="0" fontId="2" fillId="3" borderId="3" xfId="30" applyNumberFormat="1" applyFont="1" applyFill="1" applyBorder="1" applyAlignment="1">
      <alignment vertical="top" wrapText="1"/>
      <protection/>
    </xf>
    <xf numFmtId="0" fontId="2" fillId="3" borderId="4" xfId="30" applyNumberFormat="1" applyFont="1" applyFill="1" applyBorder="1" applyAlignment="1">
      <alignment vertical="top" wrapText="1"/>
      <protection/>
    </xf>
    <xf numFmtId="0" fontId="2" fillId="3" borderId="0" xfId="30" applyNumberFormat="1" applyFont="1" applyFill="1" applyBorder="1" applyAlignment="1">
      <alignment vertical="top" wrapText="1"/>
      <protection/>
    </xf>
    <xf numFmtId="0" fontId="2" fillId="3" borderId="5" xfId="30" applyNumberFormat="1" applyFont="1" applyFill="1" applyBorder="1" applyAlignment="1">
      <alignment vertical="top" wrapText="1"/>
      <protection/>
    </xf>
    <xf numFmtId="0" fontId="2" fillId="3" borderId="6" xfId="30" applyNumberFormat="1" applyFont="1" applyFill="1" applyBorder="1" applyAlignment="1">
      <alignment vertical="top" wrapText="1"/>
      <protection/>
    </xf>
    <xf numFmtId="0" fontId="2" fillId="3" borderId="7" xfId="30" applyNumberFormat="1" applyFont="1" applyFill="1" applyBorder="1" applyAlignment="1">
      <alignment vertical="top" wrapText="1"/>
      <protection/>
    </xf>
    <xf numFmtId="0" fontId="40" fillId="3" borderId="8" xfId="30" applyNumberFormat="1" applyFont="1" applyFill="1" applyBorder="1" applyAlignment="1">
      <alignment vertical="top" wrapText="1"/>
      <protection/>
    </xf>
    <xf numFmtId="0" fontId="10" fillId="3" borderId="0" xfId="30" applyNumberFormat="1" applyFont="1" applyFill="1" applyBorder="1" applyAlignment="1">
      <alignment horizontal="center"/>
      <protection/>
    </xf>
    <xf numFmtId="0" fontId="2" fillId="0" borderId="0" xfId="30" applyNumberFormat="1" applyFont="1" applyFill="1" applyBorder="1">
      <alignment/>
      <protection/>
    </xf>
    <xf numFmtId="171" fontId="7" fillId="4" borderId="0" xfId="0" applyNumberFormat="1" applyFont="1" applyFill="1" applyBorder="1" applyAlignment="1">
      <alignment horizontal="right"/>
    </xf>
    <xf numFmtId="171" fontId="7" fillId="4" borderId="0" xfId="0" applyNumberFormat="1" applyFont="1" applyFill="1" applyBorder="1"/>
    <xf numFmtId="173" fontId="7" fillId="4" borderId="0" xfId="0" applyNumberFormat="1" applyFont="1" applyFill="1" applyBorder="1"/>
    <xf numFmtId="0" fontId="2" fillId="0" borderId="0" xfId="30" applyNumberFormat="1" applyFont="1" applyFill="1" applyBorder="1">
      <alignment/>
      <protection/>
    </xf>
    <xf numFmtId="0" fontId="2" fillId="0" borderId="0" xfId="30" applyNumberFormat="1" applyFont="1" applyFill="1" applyBorder="1">
      <alignment/>
      <protection/>
    </xf>
    <xf numFmtId="174" fontId="0" fillId="4" borderId="0" xfId="0" applyNumberFormat="1" applyFont="1" applyFill="1" applyBorder="1" applyAlignment="1">
      <alignment horizontal="right"/>
    </xf>
    <xf numFmtId="171" fontId="0" fillId="4" borderId="0" xfId="0" applyNumberFormat="1" applyFont="1" applyFill="1" applyBorder="1"/>
    <xf numFmtId="171" fontId="0" fillId="4" borderId="0" xfId="0" applyNumberFormat="1" applyFont="1" applyFill="1" applyBorder="1" applyAlignment="1">
      <alignment horizontal="right"/>
    </xf>
    <xf numFmtId="168" fontId="0" fillId="0" borderId="0" xfId="0" applyNumberFormat="1" applyFont="1" applyFill="1" applyBorder="1"/>
    <xf numFmtId="171" fontId="13" fillId="4" borderId="0" xfId="0" applyNumberFormat="1" applyFont="1" applyFill="1" applyBorder="1"/>
    <xf numFmtId="168" fontId="7" fillId="0" borderId="0" xfId="0" applyNumberFormat="1" applyFont="1" applyFill="1" applyBorder="1" applyAlignment="1">
      <alignment horizontal="center"/>
    </xf>
    <xf numFmtId="171" fontId="0" fillId="0" borderId="0" xfId="0" applyNumberFormat="1" applyFont="1" applyFill="1" applyBorder="1"/>
    <xf numFmtId="171" fontId="7" fillId="0" borderId="0" xfId="0" applyNumberFormat="1" applyFont="1" applyFill="1" applyBorder="1"/>
    <xf numFmtId="168" fontId="19" fillId="0" borderId="0" xfId="0" applyNumberFormat="1" applyFont="1" applyFill="1" applyBorder="1"/>
    <xf numFmtId="173" fontId="7" fillId="0" borderId="0" xfId="0" applyNumberFormat="1" applyFont="1" applyFill="1" applyBorder="1"/>
    <xf numFmtId="174" fontId="0" fillId="0" borderId="0" xfId="0" applyNumberFormat="1" applyFont="1" applyFill="1" applyBorder="1"/>
    <xf numFmtId="166" fontId="7" fillId="0" borderId="0" xfId="0" applyNumberFormat="1" applyFont="1" applyFill="1" applyBorder="1"/>
    <xf numFmtId="182" fontId="7" fillId="0" borderId="0" xfId="0" applyNumberFormat="1" applyFont="1" applyFill="1" applyBorder="1"/>
    <xf numFmtId="177" fontId="7" fillId="0" borderId="0" xfId="0" applyNumberFormat="1" applyFont="1" applyFill="1" applyBorder="1"/>
    <xf numFmtId="173" fontId="20" fillId="3" borderId="0" xfId="0" applyNumberFormat="1" applyFont="1" applyFill="1" applyBorder="1"/>
    <xf numFmtId="1" fontId="7" fillId="3" borderId="0" xfId="0" applyNumberFormat="1" applyFont="1" applyFill="1" applyBorder="1" applyAlignment="1">
      <alignment horizontal="center"/>
    </xf>
    <xf numFmtId="0" fontId="0" fillId="0" borderId="0" xfId="0" applyNumberFormat="1" applyFont="1" applyFill="1" applyBorder="1"/>
    <xf numFmtId="0" fontId="7" fillId="0" borderId="0" xfId="0" applyNumberFormat="1" applyFont="1" applyFill="1" applyBorder="1"/>
    <xf numFmtId="171" fontId="7" fillId="3" borderId="0" xfId="0" applyNumberFormat="1" applyFont="1" applyFill="1" applyBorder="1" applyAlignment="1">
      <alignment horizontal="right"/>
    </xf>
    <xf numFmtId="171" fontId="7" fillId="3" borderId="0" xfId="0" applyNumberFormat="1" applyFont="1" applyFill="1" applyBorder="1" applyAlignment="1">
      <alignment horizontal="left"/>
    </xf>
    <xf numFmtId="171" fontId="0" fillId="3" borderId="0" xfId="0" applyNumberFormat="1" applyFont="1" applyFill="1" applyBorder="1" applyAlignment="1">
      <alignment horizontal="left" indent="1"/>
    </xf>
    <xf numFmtId="168" fontId="19" fillId="3" borderId="0" xfId="0" applyNumberFormat="1" applyFont="1" applyFill="1" applyBorder="1"/>
    <xf numFmtId="171" fontId="7" fillId="3" borderId="0" xfId="0" applyNumberFormat="1" applyFont="1" applyFill="1" applyBorder="1"/>
    <xf numFmtId="174" fontId="0" fillId="3" borderId="0" xfId="0" applyNumberFormat="1" applyFont="1" applyFill="1" applyBorder="1"/>
    <xf numFmtId="170" fontId="7" fillId="0" borderId="0" xfId="0" applyNumberFormat="1" applyFont="1" applyFill="1" applyBorder="1"/>
    <xf numFmtId="0" fontId="3" fillId="3" borderId="0" xfId="0" applyNumberFormat="1" applyFont="1" applyFill="1" applyBorder="1" applyAlignment="1">
      <alignment horizontal="center"/>
    </xf>
    <xf numFmtId="0" fontId="6" fillId="3" borderId="0" xfId="0" applyNumberFormat="1" applyFont="1" applyFill="1" applyBorder="1" applyAlignment="1">
      <alignment horizontal="center"/>
    </xf>
    <xf numFmtId="171" fontId="13" fillId="3" borderId="0" xfId="0" applyNumberFormat="1" applyFont="1" applyFill="1" applyBorder="1"/>
    <xf numFmtId="171" fontId="22" fillId="5" borderId="0" xfId="0" applyNumberFormat="1" applyFont="1" applyFill="1" applyBorder="1"/>
    <xf numFmtId="0" fontId="15" fillId="0" borderId="0" xfId="30" applyNumberFormat="1" applyFont="1" applyFill="1" applyBorder="1">
      <alignment/>
      <protection/>
    </xf>
    <xf numFmtId="0" fontId="0" fillId="0" borderId="0" xfId="33" applyNumberFormat="1" applyFont="1" applyFill="1" applyBorder="1">
      <alignment/>
      <protection/>
    </xf>
    <xf numFmtId="173" fontId="7" fillId="0" borderId="0" xfId="33" applyNumberFormat="1" applyFont="1" applyFill="1" applyBorder="1">
      <alignment/>
      <protection/>
    </xf>
    <xf numFmtId="168" fontId="0" fillId="0" borderId="0" xfId="33" applyNumberFormat="1" applyFont="1" applyFill="1" applyBorder="1">
      <alignment/>
      <protection/>
    </xf>
    <xf numFmtId="168" fontId="7" fillId="0" borderId="0" xfId="33" applyNumberFormat="1" applyFont="1" applyFill="1" applyBorder="1">
      <alignment/>
      <protection/>
    </xf>
    <xf numFmtId="174" fontId="0" fillId="0" borderId="0" xfId="33" applyNumberFormat="1" applyFont="1" applyFill="1" applyBorder="1">
      <alignment/>
      <protection/>
    </xf>
    <xf numFmtId="171" fontId="0" fillId="0" borderId="0" xfId="33" applyNumberFormat="1" applyFont="1" applyFill="1" applyBorder="1">
      <alignment/>
      <protection/>
    </xf>
    <xf numFmtId="170" fontId="7" fillId="0" borderId="0" xfId="33" applyNumberFormat="1" applyFont="1" applyFill="1" applyBorder="1">
      <alignment/>
      <protection/>
    </xf>
    <xf numFmtId="171" fontId="7" fillId="0" borderId="0" xfId="33" applyNumberFormat="1" applyFont="1" applyFill="1" applyBorder="1">
      <alignment/>
      <protection/>
    </xf>
    <xf numFmtId="174" fontId="2" fillId="3" borderId="0" xfId="0" applyNumberFormat="1" applyFont="1" applyFill="1" applyBorder="1"/>
    <xf numFmtId="168" fontId="0" fillId="3" borderId="2" xfId="0" applyNumberFormat="1" applyFont="1" applyFill="1" applyBorder="1" applyAlignment="1">
      <alignment horizontal="left" indent="1"/>
    </xf>
    <xf numFmtId="168" fontId="28" fillId="0" borderId="0" xfId="0" applyNumberFormat="1" applyFont="1" applyFill="1" applyBorder="1"/>
    <xf numFmtId="168" fontId="7" fillId="3" borderId="7" xfId="0" applyNumberFormat="1" applyFont="1" applyFill="1" applyBorder="1" applyAlignment="1">
      <alignment horizontal="left"/>
    </xf>
    <xf numFmtId="168" fontId="7" fillId="3" borderId="9" xfId="0" applyNumberFormat="1" applyFont="1" applyFill="1" applyBorder="1" applyAlignment="1">
      <alignment horizontal="left"/>
    </xf>
    <xf numFmtId="168" fontId="0" fillId="3" borderId="0" xfId="0" applyNumberFormat="1" applyFont="1" applyFill="1" applyBorder="1" applyAlignment="1">
      <alignment horizontal="left"/>
    </xf>
    <xf numFmtId="168" fontId="27" fillId="0" borderId="0" xfId="0" applyNumberFormat="1" applyFont="1" applyFill="1" applyBorder="1"/>
    <xf numFmtId="168" fontId="28" fillId="3" borderId="0" xfId="0" applyNumberFormat="1" applyFont="1" applyFill="1" applyBorder="1" applyAlignment="1">
      <alignment horizontal="left" indent="1"/>
    </xf>
    <xf numFmtId="168" fontId="27" fillId="3" borderId="0" xfId="0" applyNumberFormat="1" applyFont="1" applyFill="1" applyBorder="1" applyAlignment="1">
      <alignment horizontal="left"/>
    </xf>
    <xf numFmtId="168" fontId="28" fillId="3" borderId="0" xfId="0" applyNumberFormat="1" applyFont="1" applyFill="1" applyBorder="1" applyAlignment="1">
      <alignment horizontal="left"/>
    </xf>
    <xf numFmtId="168" fontId="3" fillId="3" borderId="0" xfId="0" applyNumberFormat="1" applyFont="1" applyFill="1" applyBorder="1"/>
    <xf numFmtId="171" fontId="9" fillId="4" borderId="0" xfId="0" applyNumberFormat="1" applyFont="1" applyFill="1" applyBorder="1"/>
    <xf numFmtId="171" fontId="0" fillId="3" borderId="0" xfId="0" applyNumberFormat="1" applyFont="1" applyFill="1" applyBorder="1"/>
    <xf numFmtId="171" fontId="23" fillId="4" borderId="0" xfId="0" applyNumberFormat="1" applyFont="1" applyFill="1" applyBorder="1" applyAlignment="1">
      <alignment horizontal="right"/>
    </xf>
    <xf numFmtId="183" fontId="3" fillId="3" borderId="0" xfId="0" applyNumberFormat="1" applyFont="1" applyFill="1" applyBorder="1"/>
    <xf numFmtId="182" fontId="20" fillId="3" borderId="0" xfId="0" applyNumberFormat="1" applyFont="1" applyFill="1" applyBorder="1"/>
    <xf numFmtId="182" fontId="7" fillId="0" borderId="0" xfId="33" applyNumberFormat="1" applyFont="1" applyFill="1" applyBorder="1">
      <alignment/>
      <protection/>
    </xf>
    <xf numFmtId="168" fontId="23" fillId="0" borderId="0" xfId="0" applyNumberFormat="1" applyFont="1" applyFill="1" applyBorder="1"/>
    <xf numFmtId="171" fontId="23" fillId="0" borderId="0" xfId="0" applyNumberFormat="1" applyFont="1" applyFill="1" applyBorder="1"/>
    <xf numFmtId="173" fontId="23" fillId="4" borderId="0" xfId="0" applyNumberFormat="1" applyFont="1" applyFill="1" applyBorder="1"/>
    <xf numFmtId="173" fontId="23" fillId="3" borderId="0" xfId="0" applyNumberFormat="1" applyFont="1" applyFill="1" applyBorder="1"/>
    <xf numFmtId="173" fontId="29" fillId="3" borderId="0" xfId="0" applyNumberFormat="1" applyFont="1" applyFill="1" applyBorder="1"/>
    <xf numFmtId="173" fontId="23" fillId="4" borderId="0" xfId="0" applyNumberFormat="1" applyFont="1" applyFill="1" applyBorder="1" applyAlignment="1">
      <alignment horizontal="right"/>
    </xf>
    <xf numFmtId="182" fontId="23" fillId="0" borderId="0" xfId="0" applyNumberFormat="1" applyFont="1" applyFill="1" applyBorder="1"/>
    <xf numFmtId="171" fontId="5" fillId="3" borderId="0" xfId="0" applyNumberFormat="1" applyFont="1" applyFill="1" applyBorder="1" applyAlignment="1">
      <alignment horizontal="left" indent="1"/>
    </xf>
    <xf numFmtId="171" fontId="19" fillId="3" borderId="0" xfId="0" applyNumberFormat="1" applyFont="1" applyFill="1" applyBorder="1" applyAlignment="1">
      <alignment horizontal="left" indent="1"/>
    </xf>
    <xf numFmtId="171" fontId="19" fillId="4" borderId="0" xfId="0" applyNumberFormat="1" applyFont="1" applyFill="1" applyBorder="1" applyAlignment="1">
      <alignment horizontal="right"/>
    </xf>
    <xf numFmtId="171" fontId="19" fillId="3" borderId="0" xfId="0" applyNumberFormat="1" applyFont="1" applyFill="1" applyBorder="1" applyAlignment="1">
      <alignment horizontal="right"/>
    </xf>
    <xf numFmtId="168" fontId="0" fillId="3" borderId="7" xfId="0" applyNumberFormat="1" applyFont="1" applyFill="1" applyBorder="1" applyAlignment="1">
      <alignment horizontal="left" indent="1"/>
    </xf>
    <xf numFmtId="168" fontId="7" fillId="3" borderId="7" xfId="0" applyNumberFormat="1" applyFont="1" applyFill="1" applyBorder="1" applyAlignment="1">
      <alignment horizontal="left" indent="1"/>
    </xf>
    <xf numFmtId="170" fontId="27" fillId="3" borderId="7" xfId="0" applyNumberFormat="1" applyFont="1" applyFill="1" applyBorder="1"/>
    <xf numFmtId="170" fontId="7" fillId="4" borderId="9" xfId="0" applyNumberFormat="1" applyFont="1" applyFill="1" applyBorder="1"/>
    <xf numFmtId="170" fontId="7" fillId="3" borderId="9" xfId="0" applyNumberFormat="1" applyFont="1" applyFill="1" applyBorder="1"/>
    <xf numFmtId="170" fontId="27" fillId="4" borderId="7" xfId="0" applyNumberFormat="1" applyFont="1" applyFill="1" applyBorder="1"/>
    <xf numFmtId="171" fontId="7" fillId="3" borderId="7" xfId="0" applyNumberFormat="1" applyFont="1" applyFill="1" applyBorder="1" applyAlignment="1">
      <alignment horizontal="left"/>
    </xf>
    <xf numFmtId="171" fontId="7" fillId="4" borderId="7" xfId="0" applyNumberFormat="1" applyFont="1" applyFill="1" applyBorder="1" applyAlignment="1">
      <alignment horizontal="right"/>
    </xf>
    <xf numFmtId="171" fontId="7" fillId="3" borderId="7" xfId="0" applyNumberFormat="1" applyFont="1" applyFill="1" applyBorder="1" applyAlignment="1">
      <alignment horizontal="right"/>
    </xf>
    <xf numFmtId="171" fontId="7" fillId="4" borderId="7" xfId="0" applyNumberFormat="1" applyFont="1" applyFill="1" applyBorder="1"/>
    <xf numFmtId="171" fontId="7" fillId="3" borderId="7" xfId="0" applyNumberFormat="1" applyFont="1" applyFill="1" applyBorder="1"/>
    <xf numFmtId="170" fontId="7" fillId="4" borderId="7" xfId="0" applyNumberFormat="1" applyFont="1" applyFill="1" applyBorder="1" applyAlignment="1">
      <alignment horizontal="right"/>
    </xf>
    <xf numFmtId="170" fontId="7" fillId="3" borderId="7" xfId="0" applyNumberFormat="1" applyFont="1" applyFill="1" applyBorder="1" applyAlignment="1">
      <alignment horizontal="right"/>
    </xf>
    <xf numFmtId="170" fontId="19" fillId="3" borderId="0" xfId="0" applyNumberFormat="1" applyFont="1" applyFill="1" applyBorder="1"/>
    <xf numFmtId="170" fontId="0" fillId="4" borderId="7" xfId="0" applyNumberFormat="1" applyFont="1" applyFill="1" applyBorder="1"/>
    <xf numFmtId="170" fontId="0" fillId="3" borderId="7" xfId="0" applyNumberFormat="1" applyFont="1" applyFill="1" applyBorder="1"/>
    <xf numFmtId="170" fontId="8" fillId="3" borderId="0" xfId="0" applyNumberFormat="1" applyFont="1" applyFill="1" applyBorder="1"/>
    <xf numFmtId="170" fontId="0" fillId="4" borderId="0" xfId="0" applyNumberFormat="1" applyFont="1" applyFill="1" applyBorder="1" applyAlignment="1">
      <alignment horizontal="center"/>
    </xf>
    <xf numFmtId="171" fontId="9" fillId="3" borderId="0" xfId="0" applyNumberFormat="1" applyFont="1" applyFill="1" applyBorder="1"/>
    <xf numFmtId="170" fontId="25" fillId="4" borderId="0" xfId="0" applyNumberFormat="1" applyFont="1" applyFill="1" applyBorder="1" applyAlignment="1">
      <alignment horizontal="right"/>
    </xf>
    <xf numFmtId="170" fontId="25" fillId="4" borderId="2" xfId="0" applyNumberFormat="1" applyFont="1" applyFill="1" applyBorder="1" applyAlignment="1">
      <alignment horizontal="right"/>
    </xf>
    <xf numFmtId="168" fontId="27" fillId="3" borderId="7" xfId="0" applyNumberFormat="1" applyFont="1" applyFill="1" applyBorder="1" applyAlignment="1">
      <alignment horizontal="left"/>
    </xf>
    <xf numFmtId="171" fontId="21" fillId="3" borderId="0" xfId="0" applyNumberFormat="1" applyFont="1" applyFill="1" applyBorder="1" applyAlignment="1">
      <alignment horizontal="right"/>
    </xf>
    <xf numFmtId="171" fontId="21" fillId="4" borderId="0" xfId="0" applyNumberFormat="1" applyFont="1" applyFill="1" applyBorder="1" applyAlignment="1">
      <alignment horizontal="right"/>
    </xf>
    <xf numFmtId="170" fontId="13" fillId="4" borderId="0" xfId="0" applyNumberFormat="1" applyFont="1" applyFill="1" applyBorder="1"/>
    <xf numFmtId="17" fontId="8" fillId="3" borderId="0" xfId="0" applyNumberFormat="1" applyFont="1" applyFill="1" applyBorder="1" applyAlignment="1">
      <alignment horizontal="center"/>
    </xf>
    <xf numFmtId="170" fontId="13" fillId="3" borderId="0" xfId="0" applyNumberFormat="1" applyFont="1" applyFill="1" applyBorder="1"/>
    <xf numFmtId="171" fontId="23" fillId="3" borderId="0" xfId="0" applyNumberFormat="1" applyFont="1" applyFill="1" applyBorder="1" applyAlignment="1">
      <alignment horizontal="left" indent="4"/>
    </xf>
    <xf numFmtId="173" fontId="23" fillId="3" borderId="0" xfId="0" applyNumberFormat="1" applyFont="1" applyFill="1" applyBorder="1" applyAlignment="1">
      <alignment horizontal="left" indent="3"/>
    </xf>
    <xf numFmtId="182" fontId="23" fillId="3" borderId="0" xfId="0" applyNumberFormat="1" applyFont="1" applyFill="1" applyBorder="1" applyAlignment="1">
      <alignment horizontal="left" indent="3"/>
    </xf>
    <xf numFmtId="170" fontId="28" fillId="3" borderId="2" xfId="0" applyNumberFormat="1" applyFont="1" applyFill="1" applyBorder="1"/>
    <xf numFmtId="170" fontId="28" fillId="4" borderId="2" xfId="0" applyNumberFormat="1" applyFont="1" applyFill="1" applyBorder="1"/>
    <xf numFmtId="168" fontId="2" fillId="3" borderId="0" xfId="0" applyNumberFormat="1" applyFont="1" applyFill="1" applyBorder="1" applyAlignment="1">
      <alignment horizontal="left" indent="1"/>
    </xf>
    <xf numFmtId="182" fontId="7" fillId="4" borderId="0" xfId="0" applyNumberFormat="1" applyFont="1" applyFill="1" applyBorder="1"/>
    <xf numFmtId="182" fontId="7" fillId="3" borderId="0" xfId="0" applyNumberFormat="1" applyFont="1" applyFill="1" applyBorder="1"/>
    <xf numFmtId="182" fontId="13" fillId="3" borderId="0" xfId="0" applyNumberFormat="1" applyFont="1" applyFill="1" applyBorder="1"/>
    <xf numFmtId="182" fontId="13" fillId="4" borderId="0" xfId="0" applyNumberFormat="1" applyFont="1" applyFill="1" applyBorder="1"/>
    <xf numFmtId="182" fontId="23" fillId="4" borderId="0" xfId="0" applyNumberFormat="1" applyFont="1" applyFill="1" applyBorder="1"/>
    <xf numFmtId="182" fontId="23" fillId="3" borderId="0" xfId="0" applyNumberFormat="1" applyFont="1" applyFill="1" applyBorder="1"/>
    <xf numFmtId="182" fontId="23" fillId="4" borderId="0" xfId="0" applyNumberFormat="1" applyFont="1" applyFill="1" applyBorder="1" applyAlignment="1">
      <alignment horizontal="right"/>
    </xf>
    <xf numFmtId="182" fontId="26" fillId="4" borderId="0" xfId="33" applyNumberFormat="1" applyFont="1" applyFill="1" applyBorder="1" applyAlignment="1">
      <alignment horizontal="right"/>
      <protection/>
    </xf>
    <xf numFmtId="182" fontId="26" fillId="3" borderId="0" xfId="33" applyNumberFormat="1" applyFont="1" applyFill="1" applyBorder="1" applyAlignment="1">
      <alignment horizontal="right"/>
      <protection/>
    </xf>
    <xf numFmtId="168" fontId="20" fillId="2" borderId="0" xfId="24" applyNumberFormat="1" applyFont="1" applyFill="1" applyBorder="1">
      <alignment/>
      <protection/>
    </xf>
    <xf numFmtId="171" fontId="19" fillId="4" borderId="0" xfId="16" applyNumberFormat="1" applyFont="1" applyFill="1" applyBorder="1" applyAlignment="1">
      <alignment horizontal="right" indent="1"/>
      <protection/>
    </xf>
    <xf numFmtId="171" fontId="19" fillId="4" borderId="0" xfId="16" applyNumberFormat="1" applyFont="1" applyFill="1" applyBorder="1">
      <alignment/>
      <protection/>
    </xf>
    <xf numFmtId="172" fontId="24" fillId="3" borderId="0" xfId="25" applyNumberFormat="1" applyFont="1" applyFill="1" applyBorder="1" applyAlignment="1">
      <alignment horizontal="left"/>
      <protection/>
    </xf>
    <xf numFmtId="173" fontId="3" fillId="3" borderId="0" xfId="16" applyNumberFormat="1" applyFont="1" applyFill="1" applyBorder="1">
      <alignment/>
      <protection/>
    </xf>
    <xf numFmtId="171" fontId="19" fillId="3" borderId="0" xfId="16" applyNumberFormat="1" applyFont="1" applyFill="1" applyBorder="1">
      <alignment/>
      <protection/>
    </xf>
    <xf numFmtId="166" fontId="3" fillId="3" borderId="0" xfId="16" applyNumberFormat="1" applyFont="1" applyFill="1" applyBorder="1" applyAlignment="1">
      <alignment horizontal="left"/>
      <protection/>
    </xf>
    <xf numFmtId="171" fontId="29" fillId="3" borderId="0" xfId="16" applyNumberFormat="1" applyFont="1" applyFill="1" applyBorder="1">
      <alignment/>
      <protection/>
    </xf>
    <xf numFmtId="170" fontId="20" fillId="2" borderId="0" xfId="24" applyNumberFormat="1" applyFont="1" applyFill="1" applyBorder="1" applyAlignment="1">
      <alignment horizontal="right"/>
      <protection/>
    </xf>
    <xf numFmtId="170" fontId="8" fillId="3" borderId="0" xfId="16" applyNumberFormat="1" applyFont="1" applyFill="1" applyBorder="1">
      <alignment/>
      <protection/>
    </xf>
    <xf numFmtId="170" fontId="20" fillId="3" borderId="0" xfId="16" applyNumberFormat="1" applyFont="1" applyFill="1" applyBorder="1">
      <alignment/>
      <protection/>
    </xf>
    <xf numFmtId="170" fontId="8" fillId="3" borderId="2" xfId="16" applyNumberFormat="1" applyFont="1" applyFill="1" applyBorder="1">
      <alignment/>
      <protection/>
    </xf>
    <xf numFmtId="170" fontId="20" fillId="3" borderId="2" xfId="16" applyNumberFormat="1" applyFont="1" applyFill="1" applyBorder="1">
      <alignment/>
      <protection/>
    </xf>
    <xf numFmtId="168" fontId="32" fillId="5" borderId="0" xfId="33" applyNumberFormat="1" applyFont="1" applyFill="1" applyBorder="1">
      <alignment/>
      <protection/>
    </xf>
    <xf numFmtId="171" fontId="22" fillId="5" borderId="0" xfId="33" applyNumberFormat="1" applyFont="1" applyFill="1" applyBorder="1">
      <alignment/>
      <protection/>
    </xf>
    <xf numFmtId="171" fontId="35" fillId="5" borderId="0" xfId="33" applyNumberFormat="1" applyFont="1" applyFill="1" applyBorder="1">
      <alignment/>
      <protection/>
    </xf>
    <xf numFmtId="168" fontId="22" fillId="5" borderId="0" xfId="33" applyNumberFormat="1" applyFont="1" applyFill="1" applyBorder="1">
      <alignment/>
      <protection/>
    </xf>
    <xf numFmtId="168" fontId="31" fillId="3" borderId="0" xfId="33" applyNumberFormat="1" applyFont="1" applyFill="1" applyBorder="1" applyAlignment="1">
      <alignment horizontal="center"/>
      <protection/>
    </xf>
    <xf numFmtId="173" fontId="26" fillId="4" borderId="0" xfId="33" applyNumberFormat="1" applyFont="1" applyFill="1" applyBorder="1">
      <alignment/>
      <protection/>
    </xf>
    <xf numFmtId="170" fontId="26" fillId="4" borderId="0" xfId="33" applyNumberFormat="1" applyFont="1" applyFill="1" applyBorder="1">
      <alignment/>
      <protection/>
    </xf>
    <xf numFmtId="170" fontId="26" fillId="3" borderId="0" xfId="33" applyNumberFormat="1" applyFont="1" applyFill="1" applyBorder="1">
      <alignment/>
      <protection/>
    </xf>
    <xf numFmtId="170" fontId="25" fillId="4" borderId="0" xfId="33" applyNumberFormat="1" applyFont="1" applyFill="1" applyBorder="1">
      <alignment/>
      <protection/>
    </xf>
    <xf numFmtId="170" fontId="25" fillId="3" borderId="0" xfId="33" applyNumberFormat="1" applyFont="1" applyFill="1" applyBorder="1">
      <alignment/>
      <protection/>
    </xf>
    <xf numFmtId="170" fontId="25" fillId="4" borderId="2" xfId="33" applyNumberFormat="1" applyFont="1" applyFill="1" applyBorder="1">
      <alignment/>
      <protection/>
    </xf>
    <xf numFmtId="170" fontId="25" fillId="3" borderId="2" xfId="33" applyNumberFormat="1" applyFont="1" applyFill="1" applyBorder="1">
      <alignment/>
      <protection/>
    </xf>
    <xf numFmtId="171" fontId="25" fillId="4" borderId="0" xfId="33" applyNumberFormat="1" applyFont="1" applyFill="1" applyBorder="1">
      <alignment/>
      <protection/>
    </xf>
    <xf numFmtId="171" fontId="25" fillId="3" borderId="0" xfId="33" applyNumberFormat="1" applyFont="1" applyFill="1" applyBorder="1">
      <alignment/>
      <protection/>
    </xf>
    <xf numFmtId="171" fontId="25" fillId="4" borderId="2" xfId="33" applyNumberFormat="1" applyFont="1" applyFill="1" applyBorder="1">
      <alignment/>
      <protection/>
    </xf>
    <xf numFmtId="171" fontId="25" fillId="3" borderId="2" xfId="33" applyNumberFormat="1" applyFont="1" applyFill="1" applyBorder="1">
      <alignment/>
      <protection/>
    </xf>
    <xf numFmtId="171" fontId="26" fillId="4" borderId="0" xfId="33" applyNumberFormat="1" applyFont="1" applyFill="1" applyBorder="1">
      <alignment/>
      <protection/>
    </xf>
    <xf numFmtId="171" fontId="26" fillId="3" borderId="0" xfId="33" applyNumberFormat="1" applyFont="1" applyFill="1" applyBorder="1">
      <alignment/>
      <protection/>
    </xf>
    <xf numFmtId="170" fontId="26" fillId="4" borderId="7" xfId="33" applyNumberFormat="1" applyFont="1" applyFill="1" applyBorder="1">
      <alignment/>
      <protection/>
    </xf>
    <xf numFmtId="170" fontId="26" fillId="3" borderId="7" xfId="33" applyNumberFormat="1" applyFont="1" applyFill="1" applyBorder="1">
      <alignment/>
      <protection/>
    </xf>
    <xf numFmtId="173" fontId="26" fillId="3" borderId="0" xfId="33" applyNumberFormat="1" applyFont="1" applyFill="1" applyBorder="1">
      <alignment/>
      <protection/>
    </xf>
    <xf numFmtId="171" fontId="26" fillId="4" borderId="0" xfId="33" applyNumberFormat="1" applyFont="1" applyFill="1" applyBorder="1" applyAlignment="1">
      <alignment horizontal="center"/>
      <protection/>
    </xf>
    <xf numFmtId="171" fontId="26" fillId="3" borderId="0" xfId="33" applyNumberFormat="1" applyFont="1" applyFill="1" applyBorder="1" applyAlignment="1">
      <alignment horizontal="center"/>
      <protection/>
    </xf>
    <xf numFmtId="171" fontId="25" fillId="3" borderId="0" xfId="33" applyNumberFormat="1" applyFont="1" applyFill="1" applyBorder="1" applyAlignment="1">
      <alignment horizontal="center"/>
      <protection/>
    </xf>
    <xf numFmtId="171" fontId="25" fillId="4" borderId="0" xfId="33" applyNumberFormat="1" applyFont="1" applyFill="1" applyBorder="1" applyAlignment="1">
      <alignment horizontal="center"/>
      <protection/>
    </xf>
    <xf numFmtId="170" fontId="25" fillId="4" borderId="0" xfId="33" applyNumberFormat="1" applyFont="1" applyFill="1" applyBorder="1" applyAlignment="1">
      <alignment horizontal="right"/>
      <protection/>
    </xf>
    <xf numFmtId="170" fontId="25" fillId="3" borderId="0" xfId="33" applyNumberFormat="1" applyFont="1" applyFill="1" applyBorder="1" applyAlignment="1">
      <alignment horizontal="right"/>
      <protection/>
    </xf>
    <xf numFmtId="170" fontId="25" fillId="4" borderId="2" xfId="33" applyNumberFormat="1" applyFont="1" applyFill="1" applyBorder="1" applyAlignment="1">
      <alignment horizontal="right"/>
      <protection/>
    </xf>
    <xf numFmtId="170" fontId="25" fillId="3" borderId="2" xfId="33" applyNumberFormat="1" applyFont="1" applyFill="1" applyBorder="1" applyAlignment="1">
      <alignment horizontal="right"/>
      <protection/>
    </xf>
    <xf numFmtId="171" fontId="25" fillId="4" borderId="0" xfId="33" applyNumberFormat="1" applyFont="1" applyFill="1" applyBorder="1" applyAlignment="1">
      <alignment horizontal="right"/>
      <protection/>
    </xf>
    <xf numFmtId="171" fontId="25" fillId="3" borderId="0" xfId="33" applyNumberFormat="1" applyFont="1" applyFill="1" applyBorder="1" applyAlignment="1">
      <alignment horizontal="right"/>
      <protection/>
    </xf>
    <xf numFmtId="174" fontId="25" fillId="4" borderId="0" xfId="33" applyNumberFormat="1" applyFont="1" applyFill="1" applyBorder="1" applyAlignment="1">
      <alignment horizontal="right"/>
      <protection/>
    </xf>
    <xf numFmtId="174" fontId="25" fillId="3" borderId="0" xfId="33" applyNumberFormat="1" applyFont="1" applyFill="1" applyBorder="1" applyAlignment="1">
      <alignment horizontal="right"/>
      <protection/>
    </xf>
    <xf numFmtId="174" fontId="25" fillId="3" borderId="0" xfId="33" applyNumberFormat="1" applyFont="1" applyFill="1" applyBorder="1">
      <alignment/>
      <protection/>
    </xf>
    <xf numFmtId="177" fontId="20" fillId="3" borderId="0" xfId="16" applyNumberFormat="1" applyFont="1" applyFill="1" applyBorder="1">
      <alignment/>
      <protection/>
    </xf>
    <xf numFmtId="17" fontId="34" fillId="3" borderId="0" xfId="33" applyNumberFormat="1" applyFont="1" applyFill="1" applyBorder="1" applyAlignment="1">
      <alignment horizontal="center"/>
      <protection/>
    </xf>
    <xf numFmtId="177" fontId="3" fillId="3" borderId="0" xfId="0" applyNumberFormat="1" applyFont="1" applyFill="1" applyBorder="1" applyAlignment="1">
      <alignment horizontal="left"/>
    </xf>
    <xf numFmtId="168" fontId="0" fillId="3" borderId="2" xfId="0" applyNumberFormat="1" applyFont="1" applyFill="1" applyBorder="1" applyAlignment="1">
      <alignment horizontal="left" indent="2"/>
    </xf>
    <xf numFmtId="171" fontId="7" fillId="3" borderId="7" xfId="0" applyNumberFormat="1" applyFont="1" applyFill="1" applyBorder="1" applyAlignment="1">
      <alignment horizontal="left" indent="1"/>
    </xf>
    <xf numFmtId="168" fontId="7" fillId="0" borderId="0" xfId="0" applyNumberFormat="1" applyFont="1" applyFill="1" applyBorder="1"/>
    <xf numFmtId="171" fontId="19" fillId="0" borderId="0" xfId="0" applyNumberFormat="1" applyFont="1" applyFill="1" applyBorder="1"/>
    <xf numFmtId="168" fontId="7" fillId="3" borderId="0" xfId="0" applyNumberFormat="1" applyFont="1" applyFill="1" applyBorder="1" applyAlignment="1">
      <alignment horizontal="left"/>
    </xf>
    <xf numFmtId="168" fontId="0" fillId="3" borderId="0" xfId="0" applyNumberFormat="1" applyFont="1" applyFill="1" applyBorder="1" applyAlignment="1">
      <alignment horizontal="left" indent="2"/>
    </xf>
    <xf numFmtId="170" fontId="7" fillId="3" borderId="0" xfId="0" applyNumberFormat="1" applyFont="1" applyFill="1" applyBorder="1"/>
    <xf numFmtId="170" fontId="0" fillId="3" borderId="2" xfId="0" applyNumberFormat="1" applyFont="1" applyFill="1" applyBorder="1"/>
    <xf numFmtId="166" fontId="7" fillId="0" borderId="0" xfId="33" applyNumberFormat="1" applyFont="1" applyFill="1" applyBorder="1">
      <alignment/>
      <protection/>
    </xf>
    <xf numFmtId="173" fontId="3" fillId="3" borderId="0" xfId="16" applyNumberFormat="1" applyFont="1" applyFill="1" applyBorder="1" applyAlignment="1">
      <alignment horizontal="left"/>
      <protection/>
    </xf>
    <xf numFmtId="170" fontId="28" fillId="4" borderId="0" xfId="0" applyNumberFormat="1" applyFont="1" applyFill="1" applyBorder="1"/>
    <xf numFmtId="170" fontId="28" fillId="3" borderId="0" xfId="0" applyNumberFormat="1" applyFont="1" applyFill="1" applyBorder="1"/>
    <xf numFmtId="170" fontId="7" fillId="3" borderId="7" xfId="0" applyNumberFormat="1" applyFont="1" applyFill="1" applyBorder="1" applyAlignment="1">
      <alignment horizontal="left"/>
    </xf>
    <xf numFmtId="170" fontId="7" fillId="4" borderId="7" xfId="0" applyNumberFormat="1" applyFont="1" applyFill="1" applyBorder="1"/>
    <xf numFmtId="170" fontId="7" fillId="3" borderId="7" xfId="0" applyNumberFormat="1" applyFont="1" applyFill="1" applyBorder="1"/>
    <xf numFmtId="170" fontId="26" fillId="3" borderId="7" xfId="0" applyNumberFormat="1" applyFont="1" applyFill="1" applyBorder="1"/>
    <xf numFmtId="170" fontId="26" fillId="4" borderId="7" xfId="0" applyNumberFormat="1" applyFont="1" applyFill="1" applyBorder="1"/>
    <xf numFmtId="170" fontId="0" fillId="4" borderId="0" xfId="0" applyNumberFormat="1" applyFont="1" applyFill="1" applyBorder="1"/>
    <xf numFmtId="170" fontId="7" fillId="3" borderId="0" xfId="0" applyNumberFormat="1" applyFont="1" applyFill="1" applyBorder="1" applyAlignment="1">
      <alignment horizontal="left"/>
    </xf>
    <xf numFmtId="170" fontId="7" fillId="4" borderId="0" xfId="0" applyNumberFormat="1" applyFont="1" applyFill="1" applyBorder="1"/>
    <xf numFmtId="170" fontId="26" fillId="3" borderId="0" xfId="0" applyNumberFormat="1" applyFont="1" applyFill="1" applyBorder="1"/>
    <xf numFmtId="170" fontId="26" fillId="4" borderId="0" xfId="0" applyNumberFormat="1" applyFont="1" applyFill="1" applyBorder="1"/>
    <xf numFmtId="170" fontId="27" fillId="4" borderId="0" xfId="0" applyNumberFormat="1" applyFont="1" applyFill="1" applyBorder="1"/>
    <xf numFmtId="170" fontId="27" fillId="3" borderId="0" xfId="0" applyNumberFormat="1" applyFont="1" applyFill="1" applyBorder="1"/>
    <xf numFmtId="170" fontId="9" fillId="4" borderId="0" xfId="0" applyNumberFormat="1" applyFont="1" applyFill="1" applyBorder="1"/>
    <xf numFmtId="170" fontId="0" fillId="4" borderId="2" xfId="0" applyNumberFormat="1" applyFont="1" applyFill="1" applyBorder="1"/>
    <xf numFmtId="170" fontId="25" fillId="3" borderId="2" xfId="0" applyNumberFormat="1" applyFont="1" applyFill="1" applyBorder="1"/>
    <xf numFmtId="170" fontId="25" fillId="4" borderId="2" xfId="0" applyNumberFormat="1" applyFont="1" applyFill="1" applyBorder="1"/>
    <xf numFmtId="170" fontId="25" fillId="4" borderId="0" xfId="0" applyNumberFormat="1" applyFont="1" applyFill="1" applyBorder="1"/>
    <xf numFmtId="170" fontId="9" fillId="3" borderId="0" xfId="0" applyNumberFormat="1" applyFont="1" applyFill="1" applyBorder="1"/>
    <xf numFmtId="170" fontId="0" fillId="3" borderId="2" xfId="0" applyNumberFormat="1" applyFont="1" applyFill="1" applyBorder="1" applyAlignment="1">
      <alignment horizontal="left" indent="1"/>
    </xf>
    <xf numFmtId="170" fontId="25" fillId="3" borderId="0" xfId="0" applyNumberFormat="1" applyFont="1" applyFill="1" applyBorder="1"/>
    <xf numFmtId="170" fontId="0" fillId="3" borderId="0" xfId="0" applyNumberFormat="1" applyFont="1" applyFill="1" applyBorder="1" applyAlignment="1">
      <alignment horizontal="left" indent="3"/>
    </xf>
    <xf numFmtId="170" fontId="0" fillId="3" borderId="2" xfId="0" applyNumberFormat="1" applyFont="1" applyFill="1" applyBorder="1" applyAlignment="1">
      <alignment horizontal="left" indent="3"/>
    </xf>
    <xf numFmtId="173" fontId="23" fillId="0" borderId="0" xfId="0" applyNumberFormat="1" applyFont="1" applyFill="1" applyBorder="1"/>
    <xf numFmtId="166" fontId="7" fillId="3" borderId="0" xfId="0" applyNumberFormat="1" applyFont="1" applyFill="1" applyBorder="1" applyAlignment="1">
      <alignment horizontal="left"/>
    </xf>
    <xf numFmtId="166" fontId="0" fillId="3" borderId="0" xfId="0" applyNumberFormat="1" applyFont="1" applyFill="1" applyBorder="1" applyAlignment="1">
      <alignment horizontal="left" indent="1"/>
    </xf>
    <xf numFmtId="166" fontId="7" fillId="3" borderId="7" xfId="0" applyNumberFormat="1" applyFont="1" applyFill="1" applyBorder="1" applyAlignment="1">
      <alignment horizontal="left"/>
    </xf>
    <xf numFmtId="173" fontId="26" fillId="3" borderId="0" xfId="0" applyNumberFormat="1" applyFont="1" applyFill="1" applyBorder="1" applyAlignment="1">
      <alignment horizontal="left" indent="3"/>
    </xf>
    <xf numFmtId="173" fontId="26" fillId="3" borderId="0" xfId="0" applyNumberFormat="1" applyFont="1" applyFill="1" applyBorder="1"/>
    <xf numFmtId="173" fontId="26" fillId="4" borderId="0" xfId="0" applyNumberFormat="1" applyFont="1" applyFill="1" applyBorder="1" applyAlignment="1">
      <alignment horizontal="right"/>
    </xf>
    <xf numFmtId="173" fontId="7" fillId="3" borderId="0" xfId="0" applyNumberFormat="1" applyFont="1" applyFill="1" applyBorder="1"/>
    <xf numFmtId="170" fontId="23" fillId="0" borderId="0" xfId="0" applyNumberFormat="1" applyFont="1" applyFill="1" applyBorder="1"/>
    <xf numFmtId="172" fontId="36" fillId="3" borderId="0" xfId="25" applyNumberFormat="1" applyFont="1" applyFill="1" applyBorder="1" applyAlignment="1">
      <alignment horizontal="left"/>
      <protection/>
    </xf>
    <xf numFmtId="168" fontId="31" fillId="3" borderId="0" xfId="33" applyNumberFormat="1" applyFont="1" applyFill="1" applyBorder="1" applyAlignment="1">
      <alignment horizontal="left"/>
      <protection/>
    </xf>
    <xf numFmtId="168" fontId="34" fillId="3" borderId="0" xfId="33" applyNumberFormat="1" applyFont="1" applyFill="1" applyBorder="1" applyAlignment="1">
      <alignment horizontal="center"/>
      <protection/>
    </xf>
    <xf numFmtId="168" fontId="26" fillId="3" borderId="0" xfId="33" applyNumberFormat="1" applyFont="1" applyFill="1" applyBorder="1" applyAlignment="1">
      <alignment horizontal="left"/>
      <protection/>
    </xf>
    <xf numFmtId="168" fontId="25" fillId="3" borderId="0" xfId="33" applyNumberFormat="1" applyFont="1" applyFill="1" applyBorder="1" applyAlignment="1">
      <alignment horizontal="left" indent="1"/>
      <protection/>
    </xf>
    <xf numFmtId="168" fontId="25" fillId="3" borderId="0" xfId="33" applyNumberFormat="1" applyFont="1" applyFill="1" applyBorder="1" applyAlignment="1">
      <alignment horizontal="left" indent="3"/>
      <protection/>
    </xf>
    <xf numFmtId="168" fontId="26" fillId="3" borderId="7" xfId="33" applyNumberFormat="1" applyFont="1" applyFill="1" applyBorder="1" applyAlignment="1">
      <alignment horizontal="left"/>
      <protection/>
    </xf>
    <xf numFmtId="168" fontId="26" fillId="3" borderId="7" xfId="33" applyNumberFormat="1" applyFont="1" applyFill="1" applyBorder="1" applyAlignment="1">
      <alignment horizontal="left" indent="3"/>
      <protection/>
    </xf>
    <xf numFmtId="170" fontId="26" fillId="3" borderId="0" xfId="33" applyNumberFormat="1" applyFont="1" applyFill="1" applyBorder="1" applyAlignment="1">
      <alignment horizontal="left"/>
      <protection/>
    </xf>
    <xf numFmtId="170" fontId="26" fillId="3" borderId="0" xfId="33" applyNumberFormat="1" applyFont="1" applyFill="1" applyBorder="1" applyAlignment="1">
      <alignment horizontal="left" indent="3"/>
      <protection/>
    </xf>
    <xf numFmtId="168" fontId="26" fillId="3" borderId="0" xfId="33" applyNumberFormat="1" applyFont="1" applyFill="1" applyBorder="1" applyAlignment="1">
      <alignment horizontal="left" indent="3"/>
      <protection/>
    </xf>
    <xf numFmtId="168" fontId="25" fillId="3" borderId="2" xfId="33" applyNumberFormat="1" applyFont="1" applyFill="1" applyBorder="1" applyAlignment="1">
      <alignment horizontal="left" indent="3"/>
      <protection/>
    </xf>
    <xf numFmtId="168" fontId="25" fillId="3" borderId="0" xfId="33" applyNumberFormat="1" applyFont="1" applyFill="1" applyBorder="1" applyAlignment="1">
      <alignment horizontal="left" indent="2"/>
      <protection/>
    </xf>
    <xf numFmtId="171" fontId="25" fillId="3" borderId="0" xfId="33" applyNumberFormat="1" applyFont="1" applyFill="1" applyBorder="1" applyAlignment="1">
      <alignment horizontal="left" indent="1"/>
      <protection/>
    </xf>
    <xf numFmtId="171" fontId="25" fillId="3" borderId="0" xfId="33" applyNumberFormat="1" applyFont="1" applyFill="1" applyBorder="1" applyAlignment="1">
      <alignment horizontal="left" indent="3"/>
      <protection/>
    </xf>
    <xf numFmtId="171" fontId="25" fillId="3" borderId="2" xfId="33" applyNumberFormat="1" applyFont="1" applyFill="1" applyBorder="1" applyAlignment="1">
      <alignment horizontal="left" indent="1"/>
      <protection/>
    </xf>
    <xf numFmtId="171" fontId="25" fillId="3" borderId="2" xfId="33" applyNumberFormat="1" applyFont="1" applyFill="1" applyBorder="1" applyAlignment="1">
      <alignment horizontal="left" indent="3"/>
      <protection/>
    </xf>
    <xf numFmtId="171" fontId="26" fillId="3" borderId="0" xfId="33" applyNumberFormat="1" applyFont="1" applyFill="1" applyBorder="1" applyAlignment="1">
      <alignment horizontal="left"/>
      <protection/>
    </xf>
    <xf numFmtId="171" fontId="26" fillId="3" borderId="0" xfId="33" applyNumberFormat="1" applyFont="1" applyFill="1" applyBorder="1" applyAlignment="1">
      <alignment horizontal="left" indent="3"/>
      <protection/>
    </xf>
    <xf numFmtId="173" fontId="31" fillId="3" borderId="0" xfId="21" applyNumberFormat="1" applyFont="1" applyFill="1" applyBorder="1">
      <alignment/>
      <protection/>
    </xf>
    <xf numFmtId="173" fontId="26" fillId="3" borderId="0" xfId="33" applyNumberFormat="1" applyFont="1" applyFill="1" applyBorder="1" applyAlignment="1">
      <alignment horizontal="left" indent="3"/>
      <protection/>
    </xf>
    <xf numFmtId="171" fontId="20" fillId="3" borderId="0" xfId="21" applyNumberFormat="1" applyFont="1" applyFill="1" applyBorder="1">
      <alignment/>
      <protection/>
    </xf>
    <xf numFmtId="166" fontId="26" fillId="3" borderId="0" xfId="33" applyNumberFormat="1" applyFont="1" applyFill="1" applyBorder="1" applyAlignment="1">
      <alignment horizontal="left"/>
      <protection/>
    </xf>
    <xf numFmtId="166" fontId="31" fillId="3" borderId="0" xfId="21" applyNumberFormat="1" applyFont="1" applyFill="1" applyBorder="1">
      <alignment/>
      <protection/>
    </xf>
    <xf numFmtId="166" fontId="25" fillId="3" borderId="0" xfId="33" applyNumberFormat="1" applyFont="1" applyFill="1" applyBorder="1" applyAlignment="1">
      <alignment horizontal="left"/>
      <protection/>
    </xf>
    <xf numFmtId="182" fontId="26" fillId="3" borderId="0" xfId="33" applyNumberFormat="1" applyFont="1" applyFill="1" applyBorder="1" applyAlignment="1">
      <alignment horizontal="left"/>
      <protection/>
    </xf>
    <xf numFmtId="182" fontId="31" fillId="3" borderId="0" xfId="21" applyNumberFormat="1" applyFont="1" applyFill="1" applyBorder="1">
      <alignment/>
      <protection/>
    </xf>
    <xf numFmtId="168" fontId="20" fillId="3" borderId="0" xfId="21" applyNumberFormat="1" applyFont="1" applyFill="1" applyBorder="1">
      <alignment/>
      <protection/>
    </xf>
    <xf numFmtId="168" fontId="20" fillId="3" borderId="2" xfId="21" applyNumberFormat="1" applyFont="1" applyFill="1" applyBorder="1">
      <alignment/>
      <protection/>
    </xf>
    <xf numFmtId="171" fontId="25" fillId="3" borderId="0" xfId="33" applyNumberFormat="1" applyFont="1" applyFill="1" applyBorder="1" applyAlignment="1">
      <alignment horizontal="left"/>
      <protection/>
    </xf>
    <xf numFmtId="174" fontId="20" fillId="3" borderId="0" xfId="33" applyNumberFormat="1" applyFont="1" applyFill="1" applyBorder="1">
      <alignment/>
      <protection/>
    </xf>
    <xf numFmtId="174" fontId="25" fillId="3" borderId="0" xfId="33" applyNumberFormat="1" applyFont="1" applyFill="1" applyBorder="1" applyAlignment="1">
      <alignment horizontal="left" indent="3"/>
      <protection/>
    </xf>
    <xf numFmtId="0" fontId="25" fillId="3" borderId="0" xfId="33" applyNumberFormat="1" applyFont="1" applyFill="1" applyBorder="1">
      <alignment/>
      <protection/>
    </xf>
    <xf numFmtId="17" fontId="2" fillId="3" borderId="0" xfId="0" applyNumberFormat="1" applyFont="1" applyFill="1" applyBorder="1" applyAlignment="1">
      <alignment horizontal="center"/>
    </xf>
    <xf numFmtId="171" fontId="0" fillId="3" borderId="0" xfId="0" applyNumberFormat="1" applyFont="1" applyFill="1" applyBorder="1" applyAlignment="1">
      <alignment horizontal="left" indent="2"/>
    </xf>
    <xf numFmtId="176" fontId="0" fillId="3" borderId="0" xfId="0" applyNumberFormat="1" applyFont="1" applyFill="1" applyBorder="1"/>
    <xf numFmtId="168" fontId="25" fillId="3" borderId="10" xfId="0" applyNumberFormat="1" applyFont="1" applyFill="1" applyBorder="1"/>
    <xf numFmtId="168" fontId="20" fillId="3" borderId="11" xfId="27" applyNumberFormat="1" applyFont="1" applyFill="1" applyBorder="1" applyAlignment="1">
      <alignment horizontal="left" indent="1"/>
      <protection/>
    </xf>
    <xf numFmtId="168" fontId="7" fillId="3" borderId="12" xfId="0" applyNumberFormat="1" applyFont="1" applyFill="1" applyBorder="1"/>
    <xf numFmtId="170" fontId="0" fillId="0" borderId="0" xfId="0" applyNumberFormat="1" applyFont="1" applyFill="1" applyBorder="1"/>
    <xf numFmtId="0" fontId="0" fillId="3" borderId="0" xfId="0" applyNumberFormat="1" applyFont="1" applyFill="1" applyBorder="1"/>
    <xf numFmtId="168" fontId="0" fillId="3" borderId="0" xfId="0" applyNumberFormat="1" applyFont="1" applyFill="1" applyBorder="1" applyAlignment="1">
      <alignment horizontal="left" indent="1"/>
    </xf>
    <xf numFmtId="170" fontId="0" fillId="3" borderId="0" xfId="0" applyNumberFormat="1" applyFont="1" applyFill="1" applyBorder="1" applyAlignment="1">
      <alignment horizontal="left" indent="1"/>
    </xf>
    <xf numFmtId="170" fontId="0" fillId="3" borderId="0" xfId="0" applyNumberFormat="1" applyFont="1" applyFill="1" applyBorder="1"/>
    <xf numFmtId="170" fontId="0" fillId="3" borderId="13" xfId="0" applyNumberFormat="1" applyFont="1" applyFill="1" applyBorder="1" applyAlignment="1">
      <alignment horizontal="left" indent="1"/>
    </xf>
    <xf numFmtId="170" fontId="0" fillId="3" borderId="13" xfId="0" applyNumberFormat="1" applyFont="1" applyFill="1" applyBorder="1"/>
    <xf numFmtId="0" fontId="7" fillId="3" borderId="0" xfId="0" applyNumberFormat="1" applyFont="1" applyFill="1" applyBorder="1"/>
    <xf numFmtId="170" fontId="23" fillId="3" borderId="0" xfId="0" applyNumberFormat="1" applyFont="1" applyFill="1" applyBorder="1"/>
    <xf numFmtId="177" fontId="7" fillId="3" borderId="0" xfId="0" applyNumberFormat="1" applyFont="1" applyFill="1" applyBorder="1"/>
    <xf numFmtId="168" fontId="27" fillId="3" borderId="0" xfId="0" applyNumberFormat="1" applyFont="1" applyFill="1" applyBorder="1"/>
    <xf numFmtId="168" fontId="28" fillId="3" borderId="0" xfId="0" applyNumberFormat="1" applyFont="1" applyFill="1" applyBorder="1"/>
    <xf numFmtId="0" fontId="35" fillId="5" borderId="0" xfId="0" applyNumberFormat="1" applyFont="1" applyFill="1" applyBorder="1"/>
    <xf numFmtId="166" fontId="26" fillId="3" borderId="0" xfId="33" applyNumberFormat="1" applyFont="1" applyFill="1" applyBorder="1">
      <alignment/>
      <protection/>
    </xf>
    <xf numFmtId="182" fontId="26" fillId="3" borderId="0" xfId="33" applyNumberFormat="1" applyFont="1" applyFill="1" applyBorder="1">
      <alignment/>
      <protection/>
    </xf>
    <xf numFmtId="189" fontId="9" fillId="3" borderId="0" xfId="0" applyNumberFormat="1" applyFont="1" applyFill="1" applyBorder="1"/>
    <xf numFmtId="168" fontId="20" fillId="3" borderId="0" xfId="27" applyNumberFormat="1" applyFont="1" applyFill="1" applyBorder="1">
      <alignment/>
      <protection/>
    </xf>
    <xf numFmtId="168" fontId="25" fillId="3" borderId="12" xfId="0" applyNumberFormat="1" applyFont="1" applyFill="1" applyBorder="1"/>
    <xf numFmtId="168" fontId="20" fillId="3" borderId="12" xfId="27" applyNumberFormat="1" applyFont="1" applyFill="1" applyBorder="1">
      <alignment/>
      <protection/>
    </xf>
    <xf numFmtId="168" fontId="25" fillId="3" borderId="14" xfId="0" applyNumberFormat="1" applyFont="1" applyFill="1" applyBorder="1"/>
    <xf numFmtId="169" fontId="31" fillId="3" borderId="15" xfId="27" applyNumberFormat="1" applyFont="1" applyFill="1" applyBorder="1" applyAlignment="1">
      <alignment horizontal="left"/>
      <protection/>
    </xf>
    <xf numFmtId="169" fontId="20" fillId="3" borderId="11" xfId="27" applyNumberFormat="1" applyFont="1" applyFill="1" applyBorder="1" applyAlignment="1">
      <alignment horizontal="left"/>
      <protection/>
    </xf>
    <xf numFmtId="188" fontId="20" fillId="3" borderId="11" xfId="27" applyNumberFormat="1" applyFont="1" applyFill="1" applyBorder="1" applyAlignment="1">
      <alignment horizontal="left" indent="1"/>
      <protection/>
    </xf>
    <xf numFmtId="188" fontId="25" fillId="3" borderId="0" xfId="0" applyNumberFormat="1" applyFont="1" applyFill="1" applyBorder="1"/>
    <xf numFmtId="188" fontId="20" fillId="3" borderId="0" xfId="27" applyNumberFormat="1" applyFont="1" applyFill="1" applyBorder="1">
      <alignment/>
      <protection/>
    </xf>
    <xf numFmtId="188" fontId="25" fillId="3" borderId="10" xfId="0" applyNumberFormat="1" applyFont="1" applyFill="1" applyBorder="1"/>
    <xf numFmtId="188" fontId="0" fillId="3" borderId="0" xfId="0" applyNumberFormat="1" applyFont="1" applyFill="1" applyBorder="1"/>
    <xf numFmtId="188" fontId="0" fillId="0" borderId="0" xfId="0" applyNumberFormat="1" applyFont="1" applyFill="1" applyBorder="1"/>
    <xf numFmtId="188" fontId="20" fillId="3" borderId="11" xfId="27" applyNumberFormat="1" applyFont="1" applyFill="1" applyBorder="1" applyAlignment="1">
      <alignment horizontal="left" indent="2"/>
      <protection/>
    </xf>
    <xf numFmtId="189" fontId="20" fillId="3" borderId="11" xfId="27" applyNumberFormat="1" applyFont="1" applyFill="1" applyBorder="1" applyAlignment="1">
      <alignment horizontal="left" indent="1"/>
      <protection/>
    </xf>
    <xf numFmtId="189" fontId="0" fillId="3" borderId="0" xfId="0" applyNumberFormat="1" applyFont="1" applyFill="1" applyBorder="1"/>
    <xf numFmtId="189" fontId="0" fillId="0" borderId="0" xfId="0" applyNumberFormat="1" applyFont="1" applyFill="1" applyBorder="1"/>
    <xf numFmtId="189" fontId="20" fillId="3" borderId="11" xfId="27" applyNumberFormat="1" applyFont="1" applyFill="1" applyBorder="1" applyAlignment="1">
      <alignment horizontal="left" indent="2"/>
      <protection/>
    </xf>
    <xf numFmtId="188" fontId="0" fillId="3" borderId="0" xfId="0" applyNumberFormat="1" applyFont="1" applyFill="1" applyBorder="1" applyAlignment="1">
      <alignment horizontal="left" indent="1"/>
    </xf>
    <xf numFmtId="188" fontId="0" fillId="4" borderId="0" xfId="0" applyNumberFormat="1" applyFont="1" applyFill="1" applyBorder="1" applyAlignment="1">
      <alignment horizontal="right"/>
    </xf>
    <xf numFmtId="188" fontId="0" fillId="4" borderId="0" xfId="0" applyNumberFormat="1" applyFont="1" applyFill="1" applyBorder="1"/>
    <xf numFmtId="188" fontId="0" fillId="3" borderId="0" xfId="0" applyNumberFormat="1" applyFont="1" applyFill="1" applyBorder="1" applyAlignment="1">
      <alignment horizontal="right"/>
    </xf>
    <xf numFmtId="189" fontId="0" fillId="3" borderId="0" xfId="0" applyNumberFormat="1" applyFont="1" applyFill="1" applyBorder="1" applyAlignment="1">
      <alignment horizontal="left" indent="1"/>
    </xf>
    <xf numFmtId="166" fontId="7" fillId="4" borderId="0" xfId="0" applyNumberFormat="1" applyFont="1" applyFill="1" applyBorder="1"/>
    <xf numFmtId="166" fontId="7" fillId="3" borderId="0" xfId="0" applyNumberFormat="1" applyFont="1" applyFill="1" applyBorder="1"/>
    <xf numFmtId="166" fontId="26" fillId="3" borderId="0" xfId="0" applyNumberFormat="1" applyFont="1" applyFill="1" applyBorder="1"/>
    <xf numFmtId="166" fontId="26" fillId="4" borderId="0" xfId="0" applyNumberFormat="1" applyFont="1" applyFill="1" applyBorder="1"/>
    <xf numFmtId="166" fontId="0" fillId="3" borderId="0" xfId="0" applyNumberFormat="1" applyFont="1" applyFill="1" applyBorder="1"/>
    <xf numFmtId="166" fontId="25" fillId="3" borderId="0" xfId="0" applyNumberFormat="1" applyFont="1" applyFill="1" applyBorder="1"/>
    <xf numFmtId="166" fontId="25" fillId="4" borderId="0" xfId="0" applyNumberFormat="1" applyFont="1" applyFill="1" applyBorder="1"/>
    <xf numFmtId="166" fontId="7" fillId="4" borderId="7" xfId="0" applyNumberFormat="1" applyFont="1" applyFill="1" applyBorder="1"/>
    <xf numFmtId="166" fontId="7" fillId="3" borderId="7" xfId="0" applyNumberFormat="1" applyFont="1" applyFill="1" applyBorder="1"/>
    <xf numFmtId="166" fontId="26" fillId="3" borderId="7" xfId="0" applyNumberFormat="1" applyFont="1" applyFill="1" applyBorder="1"/>
    <xf numFmtId="166" fontId="26" fillId="4" borderId="7" xfId="0" applyNumberFormat="1" applyFont="1" applyFill="1" applyBorder="1"/>
    <xf numFmtId="166" fontId="7" fillId="4" borderId="0" xfId="16" applyNumberFormat="1" applyFont="1" applyFill="1" applyBorder="1">
      <alignment/>
      <protection/>
    </xf>
    <xf numFmtId="166" fontId="13" fillId="3" borderId="0" xfId="16" applyNumberFormat="1" applyFont="1" applyFill="1" applyBorder="1">
      <alignment/>
      <protection/>
    </xf>
    <xf numFmtId="166" fontId="13" fillId="4" borderId="0" xfId="16" applyNumberFormat="1" applyFont="1" applyFill="1" applyBorder="1">
      <alignment/>
      <protection/>
    </xf>
    <xf numFmtId="166" fontId="26" fillId="4" borderId="0" xfId="33" applyNumberFormat="1" applyFont="1" applyFill="1" applyBorder="1" applyAlignment="1">
      <alignment horizontal="center"/>
      <protection/>
    </xf>
    <xf numFmtId="166" fontId="26" fillId="3" borderId="0" xfId="33" applyNumberFormat="1" applyFont="1" applyFill="1" applyBorder="1" applyAlignment="1">
      <alignment horizontal="center"/>
      <protection/>
    </xf>
    <xf numFmtId="166" fontId="26" fillId="4" borderId="0" xfId="33" applyNumberFormat="1" applyFont="1" applyFill="1" applyBorder="1">
      <alignment/>
      <protection/>
    </xf>
    <xf numFmtId="166" fontId="26" fillId="4" borderId="0" xfId="33" applyNumberFormat="1" applyFont="1" applyFill="1" applyBorder="1" applyAlignment="1">
      <alignment horizontal="right"/>
      <protection/>
    </xf>
    <xf numFmtId="166" fontId="26" fillId="3" borderId="0" xfId="33" applyNumberFormat="1" applyFont="1" applyFill="1" applyBorder="1" applyAlignment="1">
      <alignment horizontal="right"/>
      <protection/>
    </xf>
    <xf numFmtId="170" fontId="23" fillId="4" borderId="0" xfId="0" applyNumberFormat="1" applyFont="1" applyFill="1" applyBorder="1"/>
    <xf numFmtId="170" fontId="29" fillId="3" borderId="0" xfId="0" applyNumberFormat="1" applyFont="1" applyFill="1" applyBorder="1"/>
    <xf numFmtId="170" fontId="23" fillId="4" borderId="0" xfId="0" applyNumberFormat="1" applyFont="1" applyFill="1" applyBorder="1" applyAlignment="1">
      <alignment horizontal="center"/>
    </xf>
    <xf numFmtId="0" fontId="7" fillId="3" borderId="0" xfId="0" applyNumberFormat="1" applyFont="1" applyFill="1" applyBorder="1" applyAlignment="1">
      <alignment horizontal="center"/>
    </xf>
    <xf numFmtId="171" fontId="0" fillId="3" borderId="2" xfId="0" applyNumberFormat="1" applyFont="1" applyFill="1" applyBorder="1"/>
    <xf numFmtId="170" fontId="28" fillId="3" borderId="9" xfId="0" applyNumberFormat="1" applyFont="1" applyFill="1" applyBorder="1"/>
    <xf numFmtId="168" fontId="25" fillId="3" borderId="16" xfId="0" applyNumberFormat="1" applyFont="1" applyFill="1" applyBorder="1"/>
    <xf numFmtId="171" fontId="26" fillId="3" borderId="7" xfId="33" applyNumberFormat="1" applyFont="1" applyFill="1" applyBorder="1">
      <alignment/>
      <protection/>
    </xf>
    <xf numFmtId="170" fontId="26" fillId="3" borderId="7" xfId="33" applyNumberFormat="1" applyFont="1" applyFill="1" applyBorder="1" applyAlignment="1">
      <alignment horizontal="right"/>
      <protection/>
    </xf>
    <xf numFmtId="170" fontId="19" fillId="0" borderId="0" xfId="0" applyNumberFormat="1" applyFont="1" applyFill="1" applyBorder="1"/>
    <xf numFmtId="171" fontId="0" fillId="3" borderId="2" xfId="0" applyNumberFormat="1" applyFont="1" applyFill="1" applyBorder="1" applyAlignment="1">
      <alignment horizontal="left" indent="1"/>
    </xf>
    <xf numFmtId="171" fontId="28" fillId="3" borderId="2" xfId="0" applyNumberFormat="1" applyFont="1" applyFill="1" applyBorder="1"/>
    <xf numFmtId="171" fontId="9" fillId="3" borderId="2" xfId="0" applyNumberFormat="1" applyFont="1" applyFill="1" applyBorder="1"/>
    <xf numFmtId="170" fontId="9" fillId="3" borderId="2" xfId="0" applyNumberFormat="1" applyFont="1" applyFill="1" applyBorder="1"/>
    <xf numFmtId="171" fontId="0" fillId="3" borderId="2" xfId="0" applyNumberFormat="1" applyFont="1" applyFill="1" applyBorder="1" applyAlignment="1">
      <alignment horizontal="left" indent="2"/>
    </xf>
    <xf numFmtId="168" fontId="7" fillId="3" borderId="7" xfId="0" applyNumberFormat="1" applyFont="1" applyFill="1" applyBorder="1"/>
    <xf numFmtId="170" fontId="26" fillId="3" borderId="9" xfId="0" applyNumberFormat="1" applyFont="1" applyFill="1" applyBorder="1"/>
    <xf numFmtId="166" fontId="0" fillId="3" borderId="2" xfId="0" applyNumberFormat="1" applyFont="1" applyFill="1" applyBorder="1" applyAlignment="1">
      <alignment horizontal="left" indent="1"/>
    </xf>
    <xf numFmtId="166" fontId="0" fillId="3" borderId="2" xfId="0" applyNumberFormat="1" applyFont="1" applyFill="1" applyBorder="1"/>
    <xf numFmtId="166" fontId="25" fillId="3" borderId="2" xfId="0" applyNumberFormat="1" applyFont="1" applyFill="1" applyBorder="1"/>
    <xf numFmtId="168" fontId="0" fillId="3" borderId="9" xfId="0" applyNumberFormat="1" applyFont="1" applyFill="1" applyBorder="1" applyAlignment="1">
      <alignment horizontal="left" indent="1"/>
    </xf>
    <xf numFmtId="170" fontId="28" fillId="3" borderId="7" xfId="0" applyNumberFormat="1" applyFont="1" applyFill="1" applyBorder="1"/>
    <xf numFmtId="170" fontId="6" fillId="3" borderId="7" xfId="16" applyNumberFormat="1" applyFont="1" applyFill="1" applyBorder="1">
      <alignment/>
      <protection/>
    </xf>
    <xf numFmtId="170" fontId="31" fillId="3" borderId="7" xfId="16" applyNumberFormat="1" applyFont="1" applyFill="1" applyBorder="1">
      <alignment/>
      <protection/>
    </xf>
    <xf numFmtId="182" fontId="7" fillId="3" borderId="0" xfId="0" applyNumberFormat="1" applyFont="1" applyFill="1" applyBorder="1" applyAlignment="1">
      <alignment horizontal="left"/>
    </xf>
    <xf numFmtId="168" fontId="28" fillId="3" borderId="2" xfId="0" applyNumberFormat="1" applyFont="1" applyFill="1" applyBorder="1" applyAlignment="1">
      <alignment horizontal="left" indent="1"/>
    </xf>
    <xf numFmtId="168" fontId="7" fillId="3" borderId="11" xfId="0" applyNumberFormat="1" applyFont="1" applyFill="1" applyBorder="1"/>
    <xf numFmtId="168" fontId="0" fillId="3" borderId="11" xfId="0" applyNumberFormat="1" applyFont="1" applyFill="1" applyBorder="1"/>
    <xf numFmtId="168" fontId="20" fillId="3" borderId="16" xfId="27" applyNumberFormat="1" applyFont="1" applyFill="1" applyBorder="1" applyAlignment="1">
      <alignment horizontal="left" indent="1"/>
      <protection/>
    </xf>
    <xf numFmtId="168" fontId="20" fillId="3" borderId="16" xfId="27" applyNumberFormat="1" applyFont="1" applyFill="1" applyBorder="1">
      <alignment/>
      <protection/>
    </xf>
    <xf numFmtId="188" fontId="0" fillId="3" borderId="11" xfId="0" applyNumberFormat="1" applyFont="1" applyFill="1" applyBorder="1"/>
    <xf numFmtId="189" fontId="0" fillId="3" borderId="11" xfId="0" applyNumberFormat="1" applyFont="1" applyFill="1" applyBorder="1"/>
    <xf numFmtId="171" fontId="0" fillId="4" borderId="2" xfId="0" applyNumberFormat="1" applyFont="1" applyFill="1" applyBorder="1"/>
    <xf numFmtId="170" fontId="28" fillId="4" borderId="9" xfId="0" applyNumberFormat="1" applyFont="1" applyFill="1" applyBorder="1"/>
    <xf numFmtId="170" fontId="26" fillId="4" borderId="9" xfId="0" applyNumberFormat="1" applyFont="1" applyFill="1" applyBorder="1"/>
    <xf numFmtId="170" fontId="26" fillId="4" borderId="7" xfId="0" applyNumberFormat="1" applyFont="1" applyFill="1" applyBorder="1" applyAlignment="1">
      <alignment horizontal="right"/>
    </xf>
    <xf numFmtId="171" fontId="28" fillId="4" borderId="2" xfId="0" applyNumberFormat="1" applyFont="1" applyFill="1" applyBorder="1"/>
    <xf numFmtId="166" fontId="25" fillId="4" borderId="2" xfId="0" applyNumberFormat="1" applyFont="1" applyFill="1" applyBorder="1"/>
    <xf numFmtId="170" fontId="9" fillId="4" borderId="2" xfId="0" applyNumberFormat="1" applyFont="1" applyFill="1" applyBorder="1"/>
    <xf numFmtId="171" fontId="9" fillId="4" borderId="2" xfId="0" applyNumberFormat="1" applyFont="1" applyFill="1" applyBorder="1"/>
    <xf numFmtId="168" fontId="25" fillId="3" borderId="2" xfId="0" applyNumberFormat="1" applyFont="1" applyFill="1" applyBorder="1"/>
    <xf numFmtId="168" fontId="20" fillId="3" borderId="2" xfId="27" applyNumberFormat="1" applyFont="1" applyFill="1" applyBorder="1">
      <alignment/>
      <protection/>
    </xf>
    <xf numFmtId="168" fontId="25" fillId="3" borderId="4" xfId="0" applyNumberFormat="1" applyFont="1" applyFill="1" applyBorder="1"/>
    <xf numFmtId="168" fontId="25" fillId="3" borderId="1" xfId="0" applyNumberFormat="1" applyFont="1" applyFill="1" applyBorder="1"/>
    <xf numFmtId="168" fontId="20" fillId="3" borderId="5" xfId="27" applyNumberFormat="1" applyFont="1" applyFill="1" applyBorder="1" applyAlignment="1">
      <alignment horizontal="left" indent="1"/>
      <protection/>
    </xf>
    <xf numFmtId="168" fontId="20" fillId="3" borderId="3" xfId="27" applyNumberFormat="1" applyFont="1" applyFill="1" applyBorder="1" applyAlignment="1">
      <alignment horizontal="left" indent="1"/>
      <protection/>
    </xf>
    <xf numFmtId="168" fontId="31" fillId="3" borderId="17" xfId="27" applyNumberFormat="1" applyFont="1" applyFill="1" applyBorder="1">
      <alignment/>
      <protection/>
    </xf>
    <xf numFmtId="178" fontId="20" fillId="3" borderId="18" xfId="27" applyNumberFormat="1" applyFont="1" applyFill="1" applyBorder="1" applyAlignment="1">
      <alignment horizontal="left" indent="1"/>
      <protection/>
    </xf>
    <xf numFmtId="179" fontId="20" fillId="3" borderId="18" xfId="27" applyNumberFormat="1" applyFont="1" applyFill="1" applyBorder="1" applyAlignment="1">
      <alignment horizontal="left" indent="1"/>
      <protection/>
    </xf>
    <xf numFmtId="180" fontId="20" fillId="3" borderId="18" xfId="27" applyNumberFormat="1" applyFont="1" applyFill="1" applyBorder="1" applyAlignment="1">
      <alignment horizontal="left" indent="1"/>
      <protection/>
    </xf>
    <xf numFmtId="168" fontId="31" fillId="3" borderId="8" xfId="27" applyNumberFormat="1" applyFont="1" applyFill="1" applyBorder="1">
      <alignment/>
      <protection/>
    </xf>
    <xf numFmtId="171" fontId="26" fillId="3" borderId="7" xfId="33" applyNumberFormat="1" applyFont="1" applyFill="1" applyBorder="1" applyAlignment="1">
      <alignment horizontal="left"/>
      <protection/>
    </xf>
    <xf numFmtId="171" fontId="26" fillId="3" borderId="7" xfId="33" applyNumberFormat="1" applyFont="1" applyFill="1" applyBorder="1" applyAlignment="1">
      <alignment horizontal="left" indent="3"/>
      <protection/>
    </xf>
    <xf numFmtId="171" fontId="26" fillId="4" borderId="7" xfId="33" applyNumberFormat="1" applyFont="1" applyFill="1" applyBorder="1">
      <alignment/>
      <protection/>
    </xf>
    <xf numFmtId="168" fontId="31" fillId="3" borderId="7" xfId="21" applyNumberFormat="1" applyFont="1" applyFill="1" applyBorder="1">
      <alignment/>
      <protection/>
    </xf>
    <xf numFmtId="170" fontId="26" fillId="4" borderId="7" xfId="33" applyNumberFormat="1" applyFont="1" applyFill="1" applyBorder="1" applyAlignment="1">
      <alignment horizontal="right"/>
      <protection/>
    </xf>
    <xf numFmtId="173" fontId="29" fillId="3" borderId="0" xfId="0" applyNumberFormat="1" applyFont="1" applyFill="1" applyBorder="1" applyAlignment="1">
      <alignment horizontal="left" indent="1"/>
    </xf>
    <xf numFmtId="182" fontId="29" fillId="3" borderId="0" xfId="0" applyNumberFormat="1" applyFont="1" applyFill="1" applyBorder="1" applyAlignment="1">
      <alignment horizontal="left" indent="1"/>
    </xf>
    <xf numFmtId="168" fontId="7" fillId="3" borderId="0" xfId="0" applyNumberFormat="1" applyFont="1" applyFill="1" applyBorder="1" applyAlignment="1">
      <alignment horizontal="left" indent="1"/>
    </xf>
    <xf numFmtId="171" fontId="7" fillId="3" borderId="0" xfId="0" applyNumberFormat="1" applyFont="1" applyFill="1" applyBorder="1" applyAlignment="1">
      <alignment horizontal="left" indent="1"/>
    </xf>
    <xf numFmtId="171" fontId="28" fillId="4" borderId="0" xfId="0" applyNumberFormat="1" applyFont="1" applyFill="1" applyBorder="1"/>
    <xf numFmtId="171" fontId="28" fillId="3" borderId="0" xfId="0" applyNumberFormat="1" applyFont="1" applyFill="1" applyBorder="1"/>
    <xf numFmtId="171" fontId="28" fillId="3" borderId="0" xfId="0" applyNumberFormat="1" applyFont="1" applyFill="1" applyBorder="1" applyAlignment="1">
      <alignment horizontal="left" indent="2"/>
    </xf>
    <xf numFmtId="171" fontId="28" fillId="0" borderId="0" xfId="0" applyNumberFormat="1" applyFont="1" applyFill="1" applyBorder="1"/>
    <xf numFmtId="171" fontId="28" fillId="3" borderId="2" xfId="0" applyNumberFormat="1" applyFont="1" applyFill="1" applyBorder="1" applyAlignment="1">
      <alignment horizontal="left" indent="2"/>
    </xf>
    <xf numFmtId="173" fontId="31" fillId="3" borderId="0" xfId="0" applyNumberFormat="1" applyFont="1" applyFill="1" applyBorder="1"/>
    <xf numFmtId="173" fontId="26" fillId="4" borderId="0" xfId="0" applyNumberFormat="1" applyFont="1" applyFill="1" applyBorder="1"/>
    <xf numFmtId="168" fontId="3" fillId="3" borderId="6" xfId="27" applyNumberFormat="1" applyFont="1" applyFill="1" applyBorder="1" applyAlignment="1">
      <alignment horizontal="left"/>
      <protection/>
    </xf>
    <xf numFmtId="168" fontId="2" fillId="3" borderId="4" xfId="27" applyNumberFormat="1" applyFont="1" applyFill="1" applyBorder="1" applyAlignment="1">
      <alignment horizontal="left" indent="1"/>
      <protection/>
    </xf>
    <xf numFmtId="170" fontId="0" fillId="3" borderId="0" xfId="0" applyNumberFormat="1" applyFont="1" applyFill="1" applyBorder="1" applyAlignment="1">
      <alignment horizontal="left" indent="2"/>
    </xf>
    <xf numFmtId="170" fontId="0" fillId="4" borderId="0" xfId="0" applyNumberFormat="1" applyFont="1" applyFill="1" applyBorder="1" applyAlignment="1">
      <alignment horizontal="left" indent="2"/>
    </xf>
    <xf numFmtId="170" fontId="0" fillId="0" borderId="0" xfId="0" applyNumberFormat="1" applyFont="1" applyFill="1" applyBorder="1" applyAlignment="1">
      <alignment horizontal="left" indent="2"/>
    </xf>
    <xf numFmtId="170" fontId="0" fillId="3" borderId="2" xfId="0" applyNumberFormat="1" applyFont="1" applyFill="1" applyBorder="1" applyAlignment="1">
      <alignment horizontal="left" indent="2"/>
    </xf>
    <xf numFmtId="170" fontId="0" fillId="4" borderId="2" xfId="0" applyNumberFormat="1" applyFont="1" applyFill="1" applyBorder="1" applyAlignment="1">
      <alignment horizontal="left" indent="2"/>
    </xf>
    <xf numFmtId="170" fontId="0" fillId="0" borderId="0" xfId="0" applyNumberFormat="1" applyFont="1" applyFill="1" applyBorder="1" applyAlignment="1">
      <alignment horizontal="left" indent="1"/>
    </xf>
    <xf numFmtId="170" fontId="0" fillId="3" borderId="0" xfId="0" applyNumberFormat="1" applyFont="1" applyFill="1" applyBorder="1" applyAlignment="1">
      <alignment horizontal="left"/>
    </xf>
    <xf numFmtId="170" fontId="7" fillId="3" borderId="0" xfId="0" applyNumberFormat="1" applyFont="1" applyFill="1" applyBorder="1" applyAlignment="1">
      <alignment horizontal="left" indent="1"/>
    </xf>
    <xf numFmtId="171" fontId="0" fillId="4" borderId="2" xfId="0" applyNumberFormat="1" applyFont="1" applyFill="1" applyBorder="1" applyAlignment="1">
      <alignment horizontal="right"/>
    </xf>
    <xf numFmtId="0" fontId="4" fillId="3" borderId="19" xfId="25" applyFill="1" applyBorder="1">
      <alignment/>
      <protection/>
    </xf>
    <xf numFmtId="168" fontId="22" fillId="5" borderId="0" xfId="0" applyNumberFormat="1" applyFont="1" applyFill="1"/>
    <xf numFmtId="170" fontId="0" fillId="3" borderId="0" xfId="0" applyNumberFormat="1" applyFill="1" applyAlignment="1">
      <alignment horizontal="left" indent="2"/>
    </xf>
    <xf numFmtId="170" fontId="0" fillId="3" borderId="2" xfId="0" applyNumberFormat="1" applyFill="1" applyBorder="1" applyAlignment="1">
      <alignment horizontal="left" indent="2"/>
    </xf>
    <xf numFmtId="170" fontId="0" fillId="3" borderId="0" xfId="0" applyNumberFormat="1" applyFill="1" applyAlignment="1">
      <alignment horizontal="left" indent="1"/>
    </xf>
    <xf numFmtId="170" fontId="0" fillId="3" borderId="2" xfId="0" applyNumberFormat="1" applyFill="1" applyBorder="1" applyAlignment="1">
      <alignment horizontal="left" indent="1"/>
    </xf>
    <xf numFmtId="170" fontId="7" fillId="3" borderId="0" xfId="0" applyNumberFormat="1" applyFont="1" applyFill="1" applyAlignment="1">
      <alignment horizontal="left"/>
    </xf>
    <xf numFmtId="171" fontId="7" fillId="3" borderId="0" xfId="0" applyNumberFormat="1" applyFont="1" applyFill="1" applyAlignment="1">
      <alignment horizontal="left"/>
    </xf>
    <xf numFmtId="170" fontId="0" fillId="3" borderId="0" xfId="0" applyNumberFormat="1" applyFill="1" applyAlignment="1">
      <alignment horizontal="left"/>
    </xf>
    <xf numFmtId="171" fontId="7" fillId="3" borderId="0" xfId="0" applyNumberFormat="1" applyFont="1" applyFill="1"/>
    <xf numFmtId="170" fontId="2" fillId="3" borderId="0" xfId="16" applyNumberFormat="1" applyFont="1" applyFill="1">
      <alignment/>
      <protection/>
    </xf>
    <xf numFmtId="166" fontId="3" fillId="3" borderId="0" xfId="16" applyNumberFormat="1" applyFont="1" applyFill="1">
      <alignment/>
      <protection/>
    </xf>
    <xf numFmtId="166" fontId="13" fillId="3" borderId="0" xfId="0" applyNumberFormat="1" applyFont="1" applyFill="1" applyBorder="1"/>
    <xf numFmtId="166" fontId="13" fillId="4" borderId="0" xfId="0" applyNumberFormat="1" applyFont="1" applyFill="1" applyBorder="1"/>
    <xf numFmtId="0" fontId="4" fillId="3" borderId="20" xfId="25" applyFill="1" applyBorder="1">
      <alignment/>
      <protection/>
    </xf>
    <xf numFmtId="168" fontId="0" fillId="3" borderId="0" xfId="0" applyNumberFormat="1" applyFill="1"/>
    <xf numFmtId="168" fontId="0" fillId="3" borderId="0" xfId="0" applyNumberFormat="1" applyFill="1" applyAlignment="1">
      <alignment horizontal="left" indent="1"/>
    </xf>
    <xf numFmtId="171" fontId="19" fillId="3" borderId="0" xfId="0" applyNumberFormat="1" applyFont="1" applyFill="1" applyAlignment="1">
      <alignment horizontal="left" indent="1"/>
    </xf>
    <xf numFmtId="170" fontId="7" fillId="3" borderId="0" xfId="0" applyNumberFormat="1" applyFont="1" applyFill="1"/>
    <xf numFmtId="170" fontId="22" fillId="5" borderId="0" xfId="33" applyNumberFormat="1" applyFont="1" applyFill="1" applyBorder="1">
      <alignment/>
      <protection/>
    </xf>
    <xf numFmtId="170" fontId="22" fillId="5" borderId="0" xfId="0" applyNumberFormat="1" applyFont="1" applyFill="1" applyBorder="1"/>
    <xf numFmtId="166" fontId="13" fillId="3" borderId="0" xfId="33" applyNumberFormat="1" applyFont="1" applyFill="1" applyBorder="1" applyAlignment="1">
      <alignment horizontal="left"/>
      <protection/>
    </xf>
    <xf numFmtId="166" fontId="13" fillId="3" borderId="0" xfId="0" applyNumberFormat="1" applyFont="1" applyFill="1" applyBorder="1" applyAlignment="1">
      <alignment horizontal="left"/>
    </xf>
    <xf numFmtId="166" fontId="7" fillId="4" borderId="0" xfId="0" applyNumberFormat="1" applyFont="1" applyFill="1" applyBorder="1" applyAlignment="1">
      <alignment horizontal="right"/>
    </xf>
    <xf numFmtId="166" fontId="7" fillId="3" borderId="0" xfId="0" applyNumberFormat="1" applyFont="1" applyFill="1" applyBorder="1" applyAlignment="1">
      <alignment horizontal="right"/>
    </xf>
    <xf numFmtId="166" fontId="26" fillId="3" borderId="0" xfId="33" applyNumberFormat="1" applyFont="1" applyFill="1" applyBorder="1" applyAlignment="1">
      <alignment horizontal="left" indent="1"/>
      <protection/>
    </xf>
    <xf numFmtId="191" fontId="20" fillId="3" borderId="21" xfId="27" applyNumberFormat="1" applyFont="1" applyFill="1" applyBorder="1" applyAlignment="1">
      <alignment horizontal="left" indent="1"/>
      <protection/>
    </xf>
    <xf numFmtId="168" fontId="7" fillId="3" borderId="0" xfId="0" applyNumberFormat="1" applyFont="1" applyFill="1" applyBorder="1"/>
    <xf numFmtId="181" fontId="2" fillId="3" borderId="0" xfId="0" applyNumberFormat="1" applyFont="1" applyFill="1" applyBorder="1" applyAlignment="1">
      <alignment horizontal="left"/>
    </xf>
    <xf numFmtId="186" fontId="3" fillId="3" borderId="0" xfId="0" applyNumberFormat="1" applyFont="1" applyFill="1" applyBorder="1" applyAlignment="1">
      <alignment horizontal="left"/>
    </xf>
    <xf numFmtId="166" fontId="6" fillId="3" borderId="0" xfId="16" applyNumberFormat="1" applyFont="1" applyFill="1" applyBorder="1" applyAlignment="1">
      <alignment horizontal="center"/>
      <protection/>
    </xf>
    <xf numFmtId="168" fontId="7" fillId="3" borderId="0" xfId="0" applyNumberFormat="1" applyFont="1" applyFill="1" applyBorder="1" applyAlignment="1">
      <alignment horizontal="center"/>
    </xf>
    <xf numFmtId="187" fontId="3" fillId="3" borderId="0" xfId="0" applyNumberFormat="1" applyFont="1" applyFill="1" applyBorder="1"/>
    <xf numFmtId="171" fontId="23" fillId="3" borderId="0" xfId="0" applyNumberFormat="1" applyFont="1" applyFill="1" applyBorder="1" applyAlignment="1">
      <alignment horizontal="right"/>
    </xf>
    <xf numFmtId="168" fontId="25" fillId="3" borderId="0" xfId="0" applyNumberFormat="1" applyFont="1" applyFill="1" applyBorder="1" applyAlignment="1">
      <alignment horizontal="right"/>
    </xf>
    <xf numFmtId="172" fontId="20" fillId="3" borderId="0" xfId="0" applyNumberFormat="1" applyFont="1" applyFill="1" applyBorder="1" applyAlignment="1">
      <alignment horizontal="center"/>
    </xf>
    <xf numFmtId="0" fontId="25" fillId="3" borderId="0" xfId="0" applyNumberFormat="1" applyFont="1" applyFill="1" applyBorder="1"/>
    <xf numFmtId="0" fontId="31" fillId="3" borderId="0" xfId="16" applyNumberFormat="1" applyFont="1" applyFill="1" applyBorder="1" applyAlignment="1">
      <alignment horizontal="center"/>
      <protection/>
    </xf>
    <xf numFmtId="171" fontId="25" fillId="3" borderId="0" xfId="0" applyNumberFormat="1" applyFont="1" applyFill="1" applyBorder="1" applyAlignment="1">
      <alignment horizontal="left" indent="4"/>
    </xf>
    <xf numFmtId="171" fontId="25" fillId="3" borderId="0" xfId="0" applyNumberFormat="1" applyFont="1" applyFill="1" applyBorder="1"/>
    <xf numFmtId="171" fontId="25" fillId="3" borderId="2" xfId="0" applyNumberFormat="1" applyFont="1" applyFill="1" applyBorder="1" applyAlignment="1">
      <alignment horizontal="left" indent="4"/>
    </xf>
    <xf numFmtId="171" fontId="25" fillId="3" borderId="2" xfId="0" applyNumberFormat="1" applyFont="1" applyFill="1" applyBorder="1"/>
    <xf numFmtId="171" fontId="31" fillId="3" borderId="7" xfId="16" applyNumberFormat="1" applyFont="1" applyFill="1" applyBorder="1">
      <alignment/>
      <protection/>
    </xf>
    <xf numFmtId="171" fontId="26" fillId="3" borderId="7" xfId="0" applyNumberFormat="1" applyFont="1" applyFill="1" applyBorder="1" applyAlignment="1">
      <alignment horizontal="right"/>
    </xf>
    <xf numFmtId="171" fontId="31" fillId="3" borderId="0" xfId="16" applyNumberFormat="1" applyFont="1" applyFill="1" applyBorder="1">
      <alignment/>
      <protection/>
    </xf>
    <xf numFmtId="171" fontId="26" fillId="3" borderId="0" xfId="0" applyNumberFormat="1" applyFont="1" applyFill="1" applyBorder="1" applyAlignment="1">
      <alignment horizontal="right"/>
    </xf>
    <xf numFmtId="171" fontId="25" fillId="3" borderId="0" xfId="0" applyNumberFormat="1" applyFont="1" applyFill="1" applyBorder="1" applyAlignment="1">
      <alignment horizontal="left" indent="1"/>
    </xf>
    <xf numFmtId="171" fontId="20" fillId="3" borderId="0" xfId="16" applyNumberFormat="1" applyFont="1" applyFill="1" applyBorder="1">
      <alignment/>
      <protection/>
    </xf>
    <xf numFmtId="171" fontId="25" fillId="3" borderId="0" xfId="0" applyNumberFormat="1" applyFont="1" applyFill="1" applyBorder="1" applyAlignment="1">
      <alignment horizontal="right"/>
    </xf>
    <xf numFmtId="168" fontId="25" fillId="3" borderId="0" xfId="0" applyNumberFormat="1" applyFont="1" applyFill="1" applyBorder="1" applyAlignment="1">
      <alignment horizontal="left" indent="4"/>
    </xf>
    <xf numFmtId="168" fontId="25" fillId="3" borderId="2" xfId="0" applyNumberFormat="1" applyFont="1" applyFill="1" applyBorder="1" applyAlignment="1">
      <alignment horizontal="left" indent="4"/>
    </xf>
    <xf numFmtId="168" fontId="26" fillId="3" borderId="7" xfId="0" applyNumberFormat="1" applyFont="1" applyFill="1" applyBorder="1" applyAlignment="1">
      <alignment horizontal="left" indent="4"/>
    </xf>
    <xf numFmtId="168" fontId="31" fillId="3" borderId="7" xfId="16" applyNumberFormat="1" applyFont="1" applyFill="1" applyBorder="1">
      <alignment/>
      <protection/>
    </xf>
    <xf numFmtId="168" fontId="25" fillId="3" borderId="0" xfId="0" applyNumberFormat="1" applyFont="1" applyFill="1" applyBorder="1" applyAlignment="1">
      <alignment horizontal="left" indent="1"/>
    </xf>
    <xf numFmtId="168" fontId="29" fillId="3" borderId="0" xfId="0" applyNumberFormat="1" applyFont="1" applyFill="1" applyBorder="1" applyAlignment="1">
      <alignment horizontal="left" indent="2"/>
    </xf>
    <xf numFmtId="168" fontId="26" fillId="3" borderId="0" xfId="0" applyNumberFormat="1" applyFont="1" applyFill="1" applyBorder="1" applyAlignment="1">
      <alignment horizontal="left" indent="4"/>
    </xf>
    <xf numFmtId="168" fontId="26" fillId="3" borderId="0" xfId="0" applyNumberFormat="1" applyFont="1" applyFill="1" applyBorder="1" applyAlignment="1">
      <alignment horizontal="left" indent="1"/>
    </xf>
    <xf numFmtId="168" fontId="26" fillId="3" borderId="0" xfId="0" applyNumberFormat="1" applyFont="1" applyFill="1" applyBorder="1" applyAlignment="1">
      <alignment horizontal="left"/>
    </xf>
    <xf numFmtId="168" fontId="25" fillId="3" borderId="0" xfId="0" applyNumberFormat="1" applyFont="1" applyFill="1" applyBorder="1" applyAlignment="1">
      <alignment horizontal="left"/>
    </xf>
    <xf numFmtId="171" fontId="26" fillId="3" borderId="7" xfId="0" applyNumberFormat="1" applyFont="1" applyFill="1" applyBorder="1" applyAlignment="1">
      <alignment horizontal="left" indent="3"/>
    </xf>
    <xf numFmtId="171" fontId="25" fillId="3" borderId="0" xfId="0" applyNumberFormat="1" applyFont="1" applyFill="1" applyBorder="1" applyAlignment="1">
      <alignment horizontal="left" indent="3"/>
    </xf>
    <xf numFmtId="171" fontId="26" fillId="3" borderId="0" xfId="0" applyNumberFormat="1" applyFont="1" applyFill="1" applyBorder="1" applyAlignment="1">
      <alignment horizontal="left" indent="2"/>
    </xf>
    <xf numFmtId="171" fontId="26" fillId="3" borderId="0" xfId="0" applyNumberFormat="1" applyFont="1" applyFill="1" applyBorder="1" applyAlignment="1">
      <alignment horizontal="left" indent="1"/>
    </xf>
    <xf numFmtId="171" fontId="26" fillId="3" borderId="0" xfId="0" applyNumberFormat="1" applyFont="1" applyFill="1" applyBorder="1" applyAlignment="1">
      <alignment horizontal="left" indent="3"/>
    </xf>
    <xf numFmtId="171" fontId="26" fillId="3" borderId="0" xfId="0" applyNumberFormat="1" applyFont="1" applyFill="1" applyBorder="1"/>
    <xf numFmtId="171" fontId="25" fillId="3" borderId="2" xfId="0" applyNumberFormat="1" applyFont="1" applyFill="1" applyBorder="1" applyAlignment="1">
      <alignment horizontal="left" indent="3"/>
    </xf>
    <xf numFmtId="168" fontId="25" fillId="3" borderId="0" xfId="0" applyNumberFormat="1" applyFont="1" applyFill="1" applyBorder="1" applyAlignment="1">
      <alignment horizontal="left" indent="3"/>
    </xf>
    <xf numFmtId="170" fontId="26" fillId="3" borderId="0" xfId="0" applyNumberFormat="1" applyFont="1" applyFill="1" applyBorder="1" applyAlignment="1">
      <alignment horizontal="left" indent="3"/>
    </xf>
    <xf numFmtId="168" fontId="25" fillId="3" borderId="0" xfId="0" applyNumberFormat="1" applyFont="1" applyFill="1"/>
    <xf numFmtId="170" fontId="25" fillId="3" borderId="2" xfId="0" applyNumberFormat="1" applyFont="1" applyFill="1" applyBorder="1" applyAlignment="1">
      <alignment horizontal="left" indent="3"/>
    </xf>
    <xf numFmtId="171" fontId="23" fillId="3" borderId="0" xfId="0" applyNumberFormat="1" applyFont="1" applyFill="1" applyBorder="1" applyAlignment="1">
      <alignment horizontal="left" indent="3"/>
    </xf>
    <xf numFmtId="171" fontId="26" fillId="3" borderId="0" xfId="0" applyNumberFormat="1" applyFont="1" applyFill="1" applyBorder="1" applyAlignment="1">
      <alignment horizontal="left" indent="4"/>
    </xf>
    <xf numFmtId="170" fontId="25" fillId="3" borderId="0" xfId="0" applyNumberFormat="1" applyFont="1" applyFill="1" applyBorder="1" applyAlignment="1">
      <alignment horizontal="left" indent="4"/>
    </xf>
    <xf numFmtId="170" fontId="25" fillId="3" borderId="2" xfId="0" applyNumberFormat="1" applyFont="1" applyFill="1" applyBorder="1" applyAlignment="1">
      <alignment horizontal="left" indent="4"/>
    </xf>
    <xf numFmtId="170" fontId="26" fillId="3" borderId="0" xfId="0" applyNumberFormat="1" applyFont="1" applyFill="1" applyBorder="1" applyAlignment="1">
      <alignment horizontal="left" indent="4"/>
    </xf>
    <xf numFmtId="170" fontId="25" fillId="3" borderId="0" xfId="0" applyNumberFormat="1" applyFont="1" applyFill="1" applyBorder="1" applyAlignment="1">
      <alignment horizontal="left" indent="1"/>
    </xf>
    <xf numFmtId="171" fontId="26" fillId="3" borderId="0" xfId="0" applyNumberFormat="1" applyFont="1" applyFill="1" applyBorder="1" applyAlignment="1">
      <alignment horizontal="left"/>
    </xf>
    <xf numFmtId="170" fontId="25" fillId="3" borderId="0" xfId="0" applyNumberFormat="1" applyFont="1" applyFill="1" applyBorder="1" applyAlignment="1">
      <alignment horizontal="left" indent="6"/>
    </xf>
    <xf numFmtId="170" fontId="25" fillId="3" borderId="0" xfId="0" applyNumberFormat="1" applyFont="1" applyFill="1" applyBorder="1" applyAlignment="1">
      <alignment horizontal="left" indent="2"/>
    </xf>
    <xf numFmtId="170" fontId="25" fillId="3" borderId="2" xfId="0" applyNumberFormat="1" applyFont="1" applyFill="1" applyBorder="1" applyAlignment="1">
      <alignment horizontal="left" indent="6"/>
    </xf>
    <xf numFmtId="170" fontId="25" fillId="3" borderId="2" xfId="0" applyNumberFormat="1" applyFont="1" applyFill="1" applyBorder="1" applyAlignment="1">
      <alignment horizontal="left" indent="2"/>
    </xf>
    <xf numFmtId="170" fontId="26" fillId="3" borderId="0" xfId="0" applyNumberFormat="1" applyFont="1" applyFill="1" applyBorder="1" applyAlignment="1">
      <alignment horizontal="left"/>
    </xf>
    <xf numFmtId="168" fontId="25" fillId="3" borderId="2" xfId="0" applyNumberFormat="1" applyFont="1" applyFill="1" applyBorder="1" applyAlignment="1">
      <alignment horizontal="left" indent="3"/>
    </xf>
    <xf numFmtId="168" fontId="26" fillId="3" borderId="7" xfId="0" applyNumberFormat="1" applyFont="1" applyFill="1" applyBorder="1" applyAlignment="1">
      <alignment horizontal="left" indent="3"/>
    </xf>
    <xf numFmtId="168" fontId="26" fillId="3" borderId="0" xfId="0" applyNumberFormat="1" applyFont="1" applyFill="1" applyBorder="1" applyAlignment="1">
      <alignment horizontal="left" indent="3"/>
    </xf>
    <xf numFmtId="168" fontId="26" fillId="3" borderId="9" xfId="0" applyNumberFormat="1" applyFont="1" applyFill="1" applyBorder="1" applyAlignment="1">
      <alignment horizontal="left" indent="3"/>
    </xf>
    <xf numFmtId="168" fontId="25" fillId="3" borderId="7" xfId="0" applyNumberFormat="1" applyFont="1" applyFill="1" applyBorder="1" applyAlignment="1">
      <alignment horizontal="left" indent="1"/>
    </xf>
    <xf numFmtId="168" fontId="25" fillId="3" borderId="7" xfId="0" applyNumberFormat="1" applyFont="1" applyFill="1" applyBorder="1" applyAlignment="1">
      <alignment horizontal="left" indent="3"/>
    </xf>
    <xf numFmtId="170" fontId="25" fillId="3" borderId="7" xfId="0" applyNumberFormat="1" applyFont="1" applyFill="1" applyBorder="1"/>
    <xf numFmtId="170" fontId="25" fillId="3" borderId="0" xfId="0" applyNumberFormat="1" applyFont="1" applyFill="1" applyBorder="1" applyAlignment="1">
      <alignment horizontal="left" indent="3"/>
    </xf>
    <xf numFmtId="170" fontId="26" fillId="3" borderId="7" xfId="0" applyNumberFormat="1" applyFont="1" applyFill="1" applyBorder="1" applyAlignment="1">
      <alignment horizontal="left" indent="3"/>
    </xf>
    <xf numFmtId="166" fontId="26" fillId="3" borderId="0" xfId="0" applyNumberFormat="1" applyFont="1" applyFill="1" applyBorder="1" applyAlignment="1">
      <alignment horizontal="left" indent="3"/>
    </xf>
    <xf numFmtId="166" fontId="25" fillId="3" borderId="0" xfId="0" applyNumberFormat="1" applyFont="1" applyFill="1" applyBorder="1" applyAlignment="1">
      <alignment horizontal="left" indent="3"/>
    </xf>
    <xf numFmtId="166" fontId="25" fillId="3" borderId="2" xfId="0" applyNumberFormat="1" applyFont="1" applyFill="1" applyBorder="1" applyAlignment="1">
      <alignment horizontal="left" indent="3"/>
    </xf>
    <xf numFmtId="166" fontId="26" fillId="3" borderId="7" xfId="0" applyNumberFormat="1" applyFont="1" applyFill="1" applyBorder="1" applyAlignment="1">
      <alignment horizontal="left" indent="3"/>
    </xf>
    <xf numFmtId="168" fontId="25" fillId="3" borderId="9" xfId="0" applyNumberFormat="1" applyFont="1" applyFill="1" applyBorder="1" applyAlignment="1">
      <alignment horizontal="left" indent="3"/>
    </xf>
    <xf numFmtId="170" fontId="25" fillId="3" borderId="9" xfId="0" applyNumberFormat="1" applyFont="1" applyFill="1" applyBorder="1"/>
    <xf numFmtId="168" fontId="29" fillId="3" borderId="7" xfId="0" applyNumberFormat="1" applyFont="1" applyFill="1" applyBorder="1" applyAlignment="1">
      <alignment horizontal="left" indent="1"/>
    </xf>
    <xf numFmtId="168" fontId="23" fillId="3" borderId="7" xfId="0" applyNumberFormat="1" applyFont="1" applyFill="1" applyBorder="1" applyAlignment="1">
      <alignment horizontal="left" indent="3"/>
    </xf>
    <xf numFmtId="177" fontId="26" fillId="3" borderId="0" xfId="0" applyNumberFormat="1" applyFont="1" applyFill="1" applyBorder="1" applyAlignment="1">
      <alignment horizontal="left" indent="3"/>
    </xf>
    <xf numFmtId="173" fontId="31" fillId="3" borderId="0" xfId="0" applyNumberFormat="1" applyFont="1" applyFill="1" applyBorder="1" applyAlignment="1">
      <alignment horizontal="left"/>
    </xf>
    <xf numFmtId="173" fontId="26" fillId="3" borderId="0" xfId="16" applyNumberFormat="1" applyFont="1" applyFill="1" applyBorder="1">
      <alignment/>
      <protection/>
    </xf>
    <xf numFmtId="171" fontId="23" fillId="3" borderId="0" xfId="0" applyNumberFormat="1" applyFont="1" applyFill="1" applyBorder="1" applyAlignment="1">
      <alignment horizontal="left" indent="1"/>
    </xf>
    <xf numFmtId="171" fontId="23" fillId="3" borderId="0" xfId="0" applyNumberFormat="1" applyFont="1" applyFill="1" applyBorder="1" applyAlignment="1">
      <alignment horizontal="left"/>
    </xf>
    <xf numFmtId="182" fontId="26" fillId="3" borderId="0" xfId="0" applyNumberFormat="1" applyFont="1" applyFill="1" applyBorder="1" applyAlignment="1">
      <alignment horizontal="left" indent="3"/>
    </xf>
    <xf numFmtId="0" fontId="25" fillId="3" borderId="0" xfId="0" applyNumberFormat="1" applyFont="1" applyFill="1" applyBorder="1" applyAlignment="1">
      <alignment horizontal="left" indent="3"/>
    </xf>
    <xf numFmtId="170" fontId="26" fillId="3" borderId="0" xfId="0" applyNumberFormat="1" applyFont="1" applyFill="1" applyAlignment="1">
      <alignment horizontal="left"/>
    </xf>
    <xf numFmtId="174" fontId="20" fillId="3" borderId="0" xfId="0" applyNumberFormat="1" applyFont="1" applyFill="1" applyBorder="1"/>
    <xf numFmtId="174" fontId="25" fillId="3" borderId="0" xfId="0" applyNumberFormat="1" applyFont="1" applyFill="1" applyBorder="1" applyAlignment="1">
      <alignment horizontal="left" indent="3"/>
    </xf>
    <xf numFmtId="174" fontId="25" fillId="3" borderId="0" xfId="0" applyNumberFormat="1" applyFont="1" applyFill="1" applyBorder="1" applyAlignment="1">
      <alignment horizontal="right"/>
    </xf>
    <xf numFmtId="174" fontId="25" fillId="3" borderId="0" xfId="0" applyNumberFormat="1" applyFont="1" applyFill="1" applyBorder="1"/>
    <xf numFmtId="188" fontId="20" fillId="3" borderId="0" xfId="16" applyNumberFormat="1" applyFont="1" applyFill="1" applyBorder="1">
      <alignment/>
      <protection/>
    </xf>
    <xf numFmtId="189" fontId="20" fillId="3" borderId="0" xfId="16" applyNumberFormat="1" applyFont="1" applyFill="1" applyBorder="1">
      <alignment/>
      <protection/>
    </xf>
    <xf numFmtId="168" fontId="25" fillId="3" borderId="0" xfId="0" applyNumberFormat="1" applyFont="1" applyFill="1" applyBorder="1" applyAlignment="1">
      <alignment horizontal="left" indent="2"/>
    </xf>
    <xf numFmtId="168" fontId="20" fillId="3" borderId="13" xfId="27" applyNumberFormat="1" applyFont="1" applyFill="1" applyBorder="1" applyAlignment="1">
      <alignment horizontal="left" indent="1"/>
      <protection/>
    </xf>
    <xf numFmtId="170" fontId="26" fillId="3" borderId="11" xfId="0" applyNumberFormat="1" applyFont="1" applyFill="1" applyBorder="1"/>
    <xf numFmtId="170" fontId="31" fillId="3" borderId="0" xfId="27" applyNumberFormat="1" applyFont="1" applyFill="1" applyBorder="1">
      <alignment/>
      <protection/>
    </xf>
    <xf numFmtId="170" fontId="25" fillId="3" borderId="11" xfId="0" applyNumberFormat="1" applyFont="1" applyFill="1" applyBorder="1"/>
    <xf numFmtId="170" fontId="20" fillId="3" borderId="0" xfId="27" applyNumberFormat="1" applyFont="1" applyFill="1" applyBorder="1">
      <alignment/>
      <protection/>
    </xf>
    <xf numFmtId="170" fontId="25" fillId="3" borderId="13" xfId="0" applyNumberFormat="1" applyFont="1" applyFill="1" applyBorder="1"/>
    <xf numFmtId="0" fontId="26" fillId="3" borderId="0" xfId="0" applyNumberFormat="1" applyFont="1" applyFill="1" applyBorder="1"/>
    <xf numFmtId="168" fontId="20" fillId="3" borderId="12" xfId="27" applyNumberFormat="1" applyFont="1" applyFill="1" applyBorder="1" applyAlignment="1">
      <alignment horizontal="left" indent="1"/>
      <protection/>
    </xf>
    <xf numFmtId="170" fontId="25" fillId="3" borderId="12" xfId="0" applyNumberFormat="1" applyFont="1" applyFill="1" applyBorder="1"/>
    <xf numFmtId="168" fontId="20" fillId="3" borderId="1" xfId="27" applyNumberFormat="1" applyFont="1" applyFill="1" applyBorder="1" applyAlignment="1">
      <alignment horizontal="left" indent="1"/>
      <protection/>
    </xf>
    <xf numFmtId="170" fontId="20" fillId="3" borderId="13" xfId="27" applyNumberFormat="1" applyFont="1" applyFill="1" applyBorder="1">
      <alignment/>
      <protection/>
    </xf>
    <xf numFmtId="0" fontId="25" fillId="3" borderId="16" xfId="0" applyNumberFormat="1" applyFont="1" applyFill="1" applyBorder="1"/>
    <xf numFmtId="0" fontId="25" fillId="3" borderId="12" xfId="0" applyNumberFormat="1" applyFont="1" applyFill="1" applyBorder="1"/>
    <xf numFmtId="1" fontId="7" fillId="4" borderId="0" xfId="0" applyNumberFormat="1" applyFont="1" applyFill="1" applyBorder="1" applyAlignment="1">
      <alignment horizontal="center"/>
    </xf>
    <xf numFmtId="17" fontId="0" fillId="4" borderId="0" xfId="0" applyNumberFormat="1" applyFont="1" applyFill="1" applyBorder="1" applyAlignment="1">
      <alignment horizontal="center"/>
    </xf>
    <xf numFmtId="0" fontId="7" fillId="4" borderId="0" xfId="0" applyNumberFormat="1" applyFont="1" applyFill="1" applyBorder="1" applyAlignment="1">
      <alignment horizontal="center"/>
    </xf>
    <xf numFmtId="171" fontId="26" fillId="4" borderId="0" xfId="0" applyNumberFormat="1" applyFont="1" applyFill="1" applyBorder="1"/>
    <xf numFmtId="171" fontId="25" fillId="4" borderId="0" xfId="0" applyNumberFormat="1" applyFont="1" applyFill="1" applyBorder="1"/>
    <xf numFmtId="171" fontId="25" fillId="4" borderId="2" xfId="0" applyNumberFormat="1" applyFont="1" applyFill="1" applyBorder="1"/>
    <xf numFmtId="171" fontId="26" fillId="4" borderId="7" xfId="0" applyNumberFormat="1" applyFont="1" applyFill="1" applyBorder="1" applyAlignment="1">
      <alignment horizontal="right"/>
    </xf>
    <xf numFmtId="171" fontId="26" fillId="4" borderId="0" xfId="0" applyNumberFormat="1" applyFont="1" applyFill="1" applyBorder="1" applyAlignment="1">
      <alignment horizontal="right"/>
    </xf>
    <xf numFmtId="171" fontId="25" fillId="4" borderId="0" xfId="0" applyNumberFormat="1" applyFont="1" applyFill="1" applyBorder="1" applyAlignment="1">
      <alignment horizontal="right"/>
    </xf>
    <xf numFmtId="182" fontId="26" fillId="4" borderId="0" xfId="0" applyNumberFormat="1" applyFont="1" applyFill="1" applyBorder="1"/>
    <xf numFmtId="170" fontId="25" fillId="4" borderId="0" xfId="0" applyNumberFormat="1" applyFont="1" applyFill="1" applyBorder="1" applyAlignment="1">
      <alignment horizontal="left" indent="2"/>
    </xf>
    <xf numFmtId="170" fontId="25" fillId="4" borderId="2" xfId="0" applyNumberFormat="1" applyFont="1" applyFill="1" applyBorder="1" applyAlignment="1">
      <alignment horizontal="left" indent="2"/>
    </xf>
    <xf numFmtId="170" fontId="25" fillId="4" borderId="7" xfId="0" applyNumberFormat="1" applyFont="1" applyFill="1" applyBorder="1"/>
    <xf numFmtId="173" fontId="26" fillId="4" borderId="0" xfId="16" applyNumberFormat="1" applyFont="1" applyFill="1" applyBorder="1" applyAlignment="1">
      <alignment horizontal="right" indent="1"/>
      <protection/>
    </xf>
    <xf numFmtId="0" fontId="25" fillId="4" borderId="0" xfId="0" applyNumberFormat="1" applyFont="1" applyFill="1" applyBorder="1"/>
    <xf numFmtId="174" fontId="25" fillId="4" borderId="0" xfId="0" applyNumberFormat="1" applyFont="1" applyFill="1" applyBorder="1" applyAlignment="1">
      <alignment horizontal="right"/>
    </xf>
    <xf numFmtId="17" fontId="2" fillId="4" borderId="0" xfId="0" applyNumberFormat="1" applyFont="1" applyFill="1" applyBorder="1" applyAlignment="1">
      <alignment horizontal="center"/>
    </xf>
    <xf numFmtId="0" fontId="3" fillId="4" borderId="0" xfId="0" applyNumberFormat="1" applyFont="1" applyFill="1" applyBorder="1" applyAlignment="1">
      <alignment horizontal="center"/>
    </xf>
    <xf numFmtId="173" fontId="26" fillId="4" borderId="0" xfId="16" applyNumberFormat="1" applyFont="1" applyFill="1" applyBorder="1">
      <alignment/>
      <protection/>
    </xf>
    <xf numFmtId="17" fontId="8" fillId="4" borderId="0" xfId="0" applyNumberFormat="1" applyFont="1" applyFill="1" applyBorder="1" applyAlignment="1">
      <alignment horizontal="center"/>
    </xf>
    <xf numFmtId="0" fontId="6" fillId="4" borderId="0" xfId="0" applyNumberFormat="1" applyFont="1" applyFill="1" applyBorder="1" applyAlignment="1">
      <alignment horizontal="center"/>
    </xf>
    <xf numFmtId="170" fontId="25" fillId="4" borderId="9" xfId="0" applyNumberFormat="1" applyFont="1" applyFill="1" applyBorder="1"/>
    <xf numFmtId="17" fontId="33" fillId="4" borderId="0" xfId="33" applyNumberFormat="1" applyFont="1" applyFill="1" applyBorder="1" applyAlignment="1">
      <alignment horizontal="center"/>
      <protection/>
    </xf>
    <xf numFmtId="168" fontId="26" fillId="4" borderId="0" xfId="33" applyNumberFormat="1" applyFont="1" applyFill="1" applyBorder="1" applyAlignment="1">
      <alignment horizontal="center"/>
      <protection/>
    </xf>
    <xf numFmtId="17" fontId="34" fillId="4" borderId="0" xfId="33" applyNumberFormat="1" applyFont="1" applyFill="1" applyBorder="1" applyAlignment="1">
      <alignment horizontal="center"/>
      <protection/>
    </xf>
    <xf numFmtId="168" fontId="31" fillId="4" borderId="0" xfId="33" applyNumberFormat="1" applyFont="1" applyFill="1" applyBorder="1" applyAlignment="1">
      <alignment horizontal="center"/>
      <protection/>
    </xf>
    <xf numFmtId="0" fontId="26" fillId="3" borderId="6" xfId="0" applyNumberFormat="1" applyFont="1" applyFill="1" applyBorder="1"/>
    <xf numFmtId="170" fontId="20" fillId="3" borderId="4" xfId="27" applyNumberFormat="1" applyFont="1" applyFill="1" applyBorder="1">
      <alignment/>
      <protection/>
    </xf>
    <xf numFmtId="170" fontId="20" fillId="3" borderId="1" xfId="27" applyNumberFormat="1" applyFont="1" applyFill="1" applyBorder="1">
      <alignment/>
      <protection/>
    </xf>
    <xf numFmtId="0" fontId="25" fillId="3" borderId="22" xfId="0" applyNumberFormat="1" applyFont="1" applyFill="1" applyBorder="1"/>
    <xf numFmtId="170" fontId="25" fillId="3" borderId="22" xfId="0" applyNumberFormat="1" applyFont="1" applyFill="1" applyBorder="1"/>
    <xf numFmtId="170" fontId="26" fillId="3" borderId="22" xfId="0" applyNumberFormat="1" applyFont="1" applyFill="1" applyBorder="1"/>
    <xf numFmtId="170" fontId="20" fillId="2" borderId="22" xfId="24" applyNumberFormat="1" applyFont="1" applyFill="1" applyBorder="1" applyAlignment="1">
      <alignment horizontal="right"/>
      <protection/>
    </xf>
    <xf numFmtId="0" fontId="26" fillId="3" borderId="22" xfId="0" applyNumberFormat="1" applyFont="1" applyFill="1" applyBorder="1"/>
    <xf numFmtId="170" fontId="25" fillId="3" borderId="23" xfId="0" applyNumberFormat="1" applyFont="1" applyFill="1" applyBorder="1"/>
    <xf numFmtId="168" fontId="25" fillId="3" borderId="24" xfId="0" applyNumberFormat="1" applyFont="1" applyFill="1" applyBorder="1"/>
    <xf numFmtId="168" fontId="25" fillId="3" borderId="25" xfId="0" applyNumberFormat="1" applyFont="1" applyFill="1" applyBorder="1"/>
    <xf numFmtId="168" fontId="25" fillId="3" borderId="26" xfId="0" applyNumberFormat="1" applyFont="1" applyFill="1" applyBorder="1"/>
    <xf numFmtId="188" fontId="25" fillId="3" borderId="22" xfId="0" applyNumberFormat="1" applyFont="1" applyFill="1" applyBorder="1"/>
    <xf numFmtId="0" fontId="25" fillId="3" borderId="26" xfId="0" applyNumberFormat="1" applyFont="1" applyFill="1" applyBorder="1"/>
    <xf numFmtId="168" fontId="32" fillId="5" borderId="22" xfId="33" applyNumberFormat="1" applyFont="1" applyFill="1" applyBorder="1">
      <alignment/>
      <protection/>
    </xf>
    <xf numFmtId="171" fontId="35" fillId="5" borderId="22" xfId="33" applyNumberFormat="1" applyFont="1" applyFill="1" applyBorder="1">
      <alignment/>
      <protection/>
    </xf>
    <xf numFmtId="192" fontId="25" fillId="3" borderId="0" xfId="0" applyNumberFormat="1" applyFont="1" applyFill="1" applyBorder="1"/>
    <xf numFmtId="170" fontId="25" fillId="3" borderId="2" xfId="0" applyNumberFormat="1" applyFont="1" applyFill="1" applyBorder="1" applyAlignment="1">
      <alignment horizontal="left" indent="1"/>
    </xf>
    <xf numFmtId="170" fontId="25" fillId="4" borderId="0" xfId="0" applyNumberFormat="1" applyFont="1" applyFill="1" applyBorder="1" applyAlignment="1">
      <alignment horizontal="left" indent="1"/>
    </xf>
    <xf numFmtId="170" fontId="25" fillId="4" borderId="2" xfId="0" applyNumberFormat="1" applyFont="1" applyFill="1" applyBorder="1" applyAlignment="1">
      <alignment horizontal="left" indent="1"/>
    </xf>
    <xf numFmtId="171" fontId="25" fillId="4" borderId="0" xfId="0" applyNumberFormat="1" applyFont="1" applyFill="1" applyBorder="1" applyAlignment="1">
      <alignment horizontal="left" indent="1"/>
    </xf>
    <xf numFmtId="171" fontId="0" fillId="0" borderId="0" xfId="0" applyNumberFormat="1" applyFont="1" applyFill="1" applyBorder="1" applyAlignment="1">
      <alignment horizontal="left" indent="1"/>
    </xf>
    <xf numFmtId="171" fontId="25" fillId="4" borderId="2" xfId="0" applyNumberFormat="1" applyFont="1" applyFill="1" applyBorder="1" applyAlignment="1">
      <alignment horizontal="left" indent="1"/>
    </xf>
    <xf numFmtId="171" fontId="25" fillId="3" borderId="2" xfId="0" applyNumberFormat="1" applyFont="1" applyFill="1" applyBorder="1" applyAlignment="1">
      <alignment horizontal="left" indent="1"/>
    </xf>
    <xf numFmtId="171" fontId="25" fillId="3" borderId="0" xfId="0" applyNumberFormat="1" applyFont="1" applyFill="1" applyBorder="1" applyAlignment="1">
      <alignment horizontal="left" indent="2"/>
    </xf>
    <xf numFmtId="171" fontId="28" fillId="3" borderId="0" xfId="0" applyNumberFormat="1" applyFont="1" applyFill="1" applyBorder="1" applyAlignment="1">
      <alignment horizontal="left" indent="3"/>
    </xf>
    <xf numFmtId="171" fontId="28" fillId="3" borderId="2" xfId="0" applyNumberFormat="1" applyFont="1" applyFill="1" applyBorder="1" applyAlignment="1">
      <alignment horizontal="left" indent="3"/>
    </xf>
    <xf numFmtId="171" fontId="9" fillId="3" borderId="0" xfId="0" applyNumberFormat="1" applyFont="1" applyFill="1" applyBorder="1" applyAlignment="1">
      <alignment horizontal="left" indent="1"/>
    </xf>
    <xf numFmtId="171" fontId="9" fillId="4" borderId="0" xfId="0" applyNumberFormat="1" applyFont="1" applyFill="1" applyBorder="1" applyAlignment="1">
      <alignment horizontal="left" indent="1"/>
    </xf>
    <xf numFmtId="171" fontId="9" fillId="3" borderId="2" xfId="0" applyNumberFormat="1" applyFont="1" applyFill="1" applyBorder="1" applyAlignment="1">
      <alignment horizontal="left" indent="1"/>
    </xf>
    <xf numFmtId="171" fontId="9" fillId="4" borderId="2" xfId="0" applyNumberFormat="1" applyFont="1" applyFill="1" applyBorder="1" applyAlignment="1">
      <alignment horizontal="left" indent="1"/>
    </xf>
    <xf numFmtId="168" fontId="20" fillId="3" borderId="0" xfId="0" applyNumberFormat="1" applyFont="1" applyFill="1" applyBorder="1" applyAlignment="1">
      <alignment horizontal="left" indent="3"/>
    </xf>
    <xf numFmtId="168" fontId="20" fillId="3" borderId="2" xfId="0" applyNumberFormat="1" applyFont="1" applyFill="1" applyBorder="1" applyAlignment="1">
      <alignment horizontal="left" indent="3"/>
    </xf>
    <xf numFmtId="170" fontId="20" fillId="3" borderId="0" xfId="0" applyNumberFormat="1" applyFont="1" applyFill="1" applyBorder="1" applyAlignment="1">
      <alignment horizontal="left" indent="1"/>
    </xf>
    <xf numFmtId="168" fontId="0" fillId="0" borderId="0" xfId="0" applyNumberFormat="1" applyFont="1" applyFill="1" applyBorder="1" applyAlignment="1">
      <alignment horizontal="left" indent="1"/>
    </xf>
    <xf numFmtId="170" fontId="20" fillId="3" borderId="2" xfId="0" applyNumberFormat="1" applyFont="1" applyFill="1" applyBorder="1" applyAlignment="1">
      <alignment horizontal="left" indent="1"/>
    </xf>
    <xf numFmtId="168" fontId="0" fillId="3" borderId="0" xfId="0" applyNumberFormat="1" applyFont="1" applyFill="1" applyBorder="1" applyAlignment="1">
      <alignment horizontal="left" indent="3"/>
    </xf>
    <xf numFmtId="168" fontId="0" fillId="3" borderId="2" xfId="0" applyNumberFormat="1" applyFont="1" applyFill="1" applyBorder="1" applyAlignment="1">
      <alignment horizontal="left" indent="3"/>
    </xf>
    <xf numFmtId="171" fontId="25" fillId="3" borderId="2" xfId="0" applyNumberFormat="1" applyFont="1" applyFill="1" applyBorder="1" applyAlignment="1">
      <alignment horizontal="left" indent="2"/>
    </xf>
    <xf numFmtId="170" fontId="7" fillId="4" borderId="0" xfId="0" applyNumberFormat="1" applyFont="1" applyFill="1" applyBorder="1" applyAlignment="1">
      <alignment horizontal="right"/>
    </xf>
    <xf numFmtId="168" fontId="25" fillId="3" borderId="2" xfId="0" applyNumberFormat="1" applyFont="1" applyFill="1" applyBorder="1" applyAlignment="1">
      <alignment horizontal="left" indent="1"/>
    </xf>
    <xf numFmtId="170" fontId="28" fillId="3" borderId="0" xfId="0" applyNumberFormat="1" applyFont="1" applyFill="1" applyBorder="1" applyAlignment="1">
      <alignment horizontal="left" indent="3"/>
    </xf>
    <xf numFmtId="170" fontId="28" fillId="3" borderId="2" xfId="0" applyNumberFormat="1" applyFont="1" applyFill="1" applyBorder="1" applyAlignment="1">
      <alignment horizontal="left" indent="3"/>
    </xf>
    <xf numFmtId="171" fontId="29" fillId="3" borderId="0" xfId="0" applyNumberFormat="1" applyFont="1" applyFill="1" applyBorder="1" applyAlignment="1">
      <alignment horizontal="left" indent="1"/>
    </xf>
    <xf numFmtId="17" fontId="20" fillId="3" borderId="0" xfId="27" applyNumberFormat="1" applyFont="1" applyFill="1" applyBorder="1">
      <alignment/>
      <protection/>
    </xf>
    <xf numFmtId="17" fontId="25" fillId="3" borderId="0" xfId="0" applyNumberFormat="1" applyFont="1" applyFill="1" applyBorder="1"/>
    <xf numFmtId="17" fontId="25" fillId="3" borderId="22" xfId="0" applyNumberFormat="1" applyFont="1" applyFill="1" applyBorder="1"/>
    <xf numFmtId="17" fontId="25" fillId="3" borderId="10" xfId="0" applyNumberFormat="1" applyFont="1" applyFill="1" applyBorder="1"/>
    <xf numFmtId="193" fontId="20" fillId="3" borderId="0" xfId="27" applyNumberFormat="1" applyFont="1" applyFill="1" applyBorder="1">
      <alignment/>
      <protection/>
    </xf>
    <xf numFmtId="193" fontId="25" fillId="3" borderId="0" xfId="0" applyNumberFormat="1" applyFont="1" applyFill="1" applyBorder="1"/>
    <xf numFmtId="193" fontId="25" fillId="3" borderId="10" xfId="0" applyNumberFormat="1" applyFont="1" applyFill="1" applyBorder="1"/>
    <xf numFmtId="189" fontId="20" fillId="3" borderId="0" xfId="27" applyNumberFormat="1" applyFont="1" applyFill="1" applyBorder="1">
      <alignment/>
      <protection/>
    </xf>
    <xf numFmtId="189" fontId="25" fillId="3" borderId="0" xfId="0" applyNumberFormat="1" applyFont="1" applyFill="1" applyBorder="1"/>
    <xf numFmtId="189" fontId="25" fillId="3" borderId="22" xfId="0" applyNumberFormat="1" applyFont="1" applyFill="1" applyBorder="1"/>
    <xf numFmtId="189" fontId="25" fillId="3" borderId="10" xfId="0" applyNumberFormat="1" applyFont="1" applyFill="1" applyBorder="1"/>
    <xf numFmtId="168" fontId="20" fillId="3" borderId="27" xfId="27" applyNumberFormat="1" applyFont="1" applyFill="1" applyBorder="1" applyAlignment="1">
      <alignment horizontal="left" indent="1"/>
      <protection/>
    </xf>
    <xf numFmtId="189" fontId="20" fillId="3" borderId="2" xfId="27" applyNumberFormat="1" applyFont="1" applyFill="1" applyBorder="1">
      <alignment/>
      <protection/>
    </xf>
    <xf numFmtId="189" fontId="25" fillId="3" borderId="2" xfId="0" applyNumberFormat="1" applyFont="1" applyFill="1" applyBorder="1"/>
    <xf numFmtId="189" fontId="25" fillId="3" borderId="24" xfId="0" applyNumberFormat="1" applyFont="1" applyFill="1" applyBorder="1"/>
    <xf numFmtId="189" fontId="25" fillId="3" borderId="28" xfId="0" applyNumberFormat="1" applyFont="1" applyFill="1" applyBorder="1"/>
    <xf numFmtId="193" fontId="0" fillId="4" borderId="0" xfId="0" applyNumberFormat="1" applyFont="1" applyFill="1" applyBorder="1" applyAlignment="1">
      <alignment horizontal="right"/>
    </xf>
    <xf numFmtId="193" fontId="0" fillId="3" borderId="0" xfId="0" applyNumberFormat="1" applyFont="1" applyFill="1" applyBorder="1" applyAlignment="1">
      <alignment horizontal="right"/>
    </xf>
    <xf numFmtId="193" fontId="0" fillId="4" borderId="0" xfId="0" applyNumberFormat="1" applyFont="1" applyFill="1" applyBorder="1"/>
    <xf numFmtId="189" fontId="0" fillId="4" borderId="0" xfId="0" applyNumberFormat="1" applyFont="1" applyFill="1" applyBorder="1" applyAlignment="1">
      <alignment horizontal="right"/>
    </xf>
    <xf numFmtId="189" fontId="0" fillId="3" borderId="0" xfId="0" applyNumberFormat="1" applyFont="1" applyFill="1" applyBorder="1" applyAlignment="1">
      <alignment horizontal="right"/>
    </xf>
    <xf numFmtId="189" fontId="0" fillId="4" borderId="0" xfId="0" applyNumberFormat="1" applyFont="1" applyFill="1" applyBorder="1"/>
    <xf numFmtId="194" fontId="0" fillId="3" borderId="0" xfId="0" applyNumberFormat="1" applyFont="1" applyFill="1" applyBorder="1"/>
    <xf numFmtId="194" fontId="0" fillId="0" borderId="0" xfId="0" applyNumberFormat="1" applyFont="1" applyFill="1" applyBorder="1"/>
    <xf numFmtId="194" fontId="25" fillId="3" borderId="0" xfId="0" applyNumberFormat="1" applyFont="1" applyFill="1" applyBorder="1"/>
    <xf numFmtId="194" fontId="25" fillId="3" borderId="0" xfId="0" applyNumberFormat="1" applyFont="1" applyFill="1" applyBorder="1" applyAlignment="1">
      <alignment horizontal="left" indent="3"/>
    </xf>
    <xf numFmtId="194" fontId="25" fillId="4" borderId="0" xfId="0" applyNumberFormat="1" applyFont="1" applyFill="1" applyBorder="1"/>
    <xf numFmtId="170" fontId="22" fillId="5" borderId="0" xfId="0" applyNumberFormat="1" applyFont="1" applyFill="1" applyBorder="1" applyAlignment="1">
      <alignment horizontal="left"/>
    </xf>
    <xf numFmtId="170" fontId="22" fillId="5" borderId="0" xfId="0" applyNumberFormat="1" applyFont="1" applyFill="1" applyBorder="1" applyAlignment="1">
      <alignment horizontal="left" indent="3"/>
    </xf>
    <xf numFmtId="170" fontId="22" fillId="5" borderId="22" xfId="0" applyNumberFormat="1" applyFont="1" applyFill="1" applyBorder="1"/>
    <xf numFmtId="195" fontId="25" fillId="4" borderId="0" xfId="0" applyNumberFormat="1" applyFont="1" applyFill="1" applyBorder="1"/>
    <xf numFmtId="195" fontId="25" fillId="3" borderId="0" xfId="0" applyNumberFormat="1" applyFont="1" applyFill="1" applyBorder="1"/>
    <xf numFmtId="170" fontId="25" fillId="3" borderId="0" xfId="0" applyNumberFormat="1" applyFont="1" applyFill="1" applyBorder="1" applyAlignment="1">
      <alignment horizontal="left"/>
    </xf>
    <xf numFmtId="170" fontId="25" fillId="3" borderId="0" xfId="0" applyNumberFormat="1" applyFont="1" applyFill="1" applyBorder="1" applyAlignment="1">
      <alignment horizontal="left" indent="5"/>
    </xf>
    <xf numFmtId="170" fontId="25" fillId="3" borderId="2" xfId="0" applyNumberFormat="1" applyFont="1" applyFill="1" applyBorder="1" applyAlignment="1">
      <alignment horizontal="left" indent="5"/>
    </xf>
    <xf numFmtId="166" fontId="7" fillId="3" borderId="0" xfId="16" applyNumberFormat="1" applyFont="1" applyFill="1" applyBorder="1">
      <alignment/>
      <protection/>
    </xf>
    <xf numFmtId="166" fontId="0" fillId="4" borderId="0" xfId="0" applyNumberFormat="1" applyFont="1" applyFill="1" applyBorder="1"/>
    <xf numFmtId="166" fontId="0" fillId="4" borderId="2" xfId="0" applyNumberFormat="1" applyFont="1" applyFill="1" applyBorder="1"/>
    <xf numFmtId="170" fontId="0" fillId="4" borderId="0" xfId="0" applyNumberFormat="1" applyFont="1" applyFill="1" applyBorder="1" applyAlignment="1">
      <alignment horizontal="left" indent="1"/>
    </xf>
    <xf numFmtId="170" fontId="0" fillId="4" borderId="2" xfId="0" applyNumberFormat="1" applyFont="1" applyFill="1" applyBorder="1" applyAlignment="1">
      <alignment horizontal="left" indent="1"/>
    </xf>
    <xf numFmtId="196" fontId="7" fillId="3" borderId="0" xfId="0" applyNumberFormat="1" applyFont="1" applyFill="1" applyBorder="1" applyAlignment="1">
      <alignment horizontal="left"/>
    </xf>
    <xf numFmtId="1" fontId="26" fillId="4" borderId="0" xfId="0" applyNumberFormat="1" applyFont="1" applyFill="1" applyBorder="1" applyAlignment="1">
      <alignment horizontal="center"/>
    </xf>
    <xf numFmtId="17" fontId="20" fillId="4" borderId="0" xfId="0" applyNumberFormat="1" applyFont="1" applyFill="1" applyBorder="1" applyAlignment="1">
      <alignment horizontal="center"/>
    </xf>
    <xf numFmtId="0" fontId="31" fillId="4" borderId="0" xfId="0" applyNumberFormat="1" applyFont="1" applyFill="1" applyBorder="1" applyAlignment="1">
      <alignment horizontal="center"/>
    </xf>
    <xf numFmtId="171" fontId="26" fillId="4" borderId="7" xfId="0" applyNumberFormat="1" applyFont="1" applyFill="1" applyBorder="1"/>
    <xf numFmtId="170" fontId="25" fillId="4" borderId="0" xfId="0" applyNumberFormat="1" applyFont="1" applyFill="1" applyBorder="1" applyAlignment="1">
      <alignment horizontal="center"/>
    </xf>
    <xf numFmtId="171" fontId="23" fillId="4" borderId="0" xfId="16" applyNumberFormat="1" applyFont="1" applyFill="1" applyBorder="1">
      <alignment/>
      <protection/>
    </xf>
    <xf numFmtId="188" fontId="25" fillId="4" borderId="0" xfId="0" applyNumberFormat="1" applyFont="1" applyFill="1" applyBorder="1"/>
    <xf numFmtId="193" fontId="25" fillId="4" borderId="0" xfId="0" applyNumberFormat="1" applyFont="1" applyFill="1" applyBorder="1"/>
    <xf numFmtId="189" fontId="25" fillId="4" borderId="0" xfId="0" applyNumberFormat="1" applyFont="1" applyFill="1" applyBorder="1"/>
    <xf numFmtId="166" fontId="26" fillId="4" borderId="0" xfId="16" applyNumberFormat="1" applyFont="1" applyFill="1" applyBorder="1">
      <alignment/>
      <protection/>
    </xf>
    <xf numFmtId="1" fontId="26" fillId="3" borderId="0" xfId="0" applyNumberFormat="1" applyFont="1" applyFill="1" applyBorder="1" applyAlignment="1">
      <alignment horizontal="center"/>
    </xf>
    <xf numFmtId="17" fontId="20" fillId="3" borderId="0" xfId="0" applyNumberFormat="1" applyFont="1" applyFill="1" applyBorder="1" applyAlignment="1">
      <alignment horizontal="center"/>
    </xf>
    <xf numFmtId="0" fontId="31" fillId="3" borderId="0" xfId="0" applyNumberFormat="1" applyFont="1" applyFill="1" applyBorder="1" applyAlignment="1">
      <alignment horizontal="center"/>
    </xf>
    <xf numFmtId="170" fontId="26" fillId="3" borderId="7" xfId="0" applyNumberFormat="1" applyFont="1" applyFill="1" applyBorder="1" applyAlignment="1">
      <alignment horizontal="right"/>
    </xf>
    <xf numFmtId="171" fontId="26" fillId="3" borderId="7" xfId="0" applyNumberFormat="1" applyFont="1" applyFill="1" applyBorder="1"/>
    <xf numFmtId="171" fontId="23" fillId="3" borderId="0" xfId="16" applyNumberFormat="1" applyFont="1" applyFill="1" applyBorder="1">
      <alignment/>
      <protection/>
    </xf>
    <xf numFmtId="182" fontId="26" fillId="3" borderId="0" xfId="0" applyNumberFormat="1" applyFont="1" applyFill="1" applyBorder="1"/>
    <xf numFmtId="166" fontId="26" fillId="3" borderId="0" xfId="0" applyNumberFormat="1" applyFont="1" applyFill="1" applyBorder="1" applyAlignment="1">
      <alignment horizontal="right"/>
    </xf>
    <xf numFmtId="188" fontId="25" fillId="3" borderId="0" xfId="0" applyNumberFormat="1" applyFont="1" applyFill="1" applyBorder="1" applyAlignment="1">
      <alignment horizontal="right"/>
    </xf>
    <xf numFmtId="193" fontId="25" fillId="3" borderId="0" xfId="0" applyNumberFormat="1" applyFont="1" applyFill="1" applyBorder="1" applyAlignment="1">
      <alignment horizontal="right"/>
    </xf>
    <xf numFmtId="189" fontId="25" fillId="3" borderId="0" xfId="0" applyNumberFormat="1" applyFont="1" applyFill="1" applyBorder="1" applyAlignment="1">
      <alignment horizontal="right"/>
    </xf>
    <xf numFmtId="168" fontId="20" fillId="3" borderId="0" xfId="27" applyNumberFormat="1" applyFont="1" applyFill="1" applyBorder="1" applyAlignment="1">
      <alignment horizontal="left" indent="1"/>
      <protection/>
    </xf>
    <xf numFmtId="168" fontId="31" fillId="3" borderId="6" xfId="27" applyNumberFormat="1" applyFont="1" applyFill="1" applyBorder="1" applyAlignment="1">
      <alignment horizontal="left"/>
      <protection/>
    </xf>
    <xf numFmtId="168" fontId="20" fillId="3" borderId="4" xfId="27" applyNumberFormat="1" applyFont="1" applyFill="1" applyBorder="1" applyAlignment="1">
      <alignment horizontal="left" indent="1"/>
      <protection/>
    </xf>
    <xf numFmtId="170" fontId="25" fillId="3" borderId="24" xfId="0" applyNumberFormat="1" applyFont="1" applyFill="1" applyBorder="1"/>
    <xf numFmtId="171" fontId="22" fillId="5" borderId="22" xfId="0" applyNumberFormat="1" applyFont="1" applyFill="1" applyBorder="1"/>
    <xf numFmtId="170" fontId="23" fillId="3" borderId="0" xfId="0" applyNumberFormat="1" applyFont="1" applyFill="1" applyBorder="1" applyAlignment="1">
      <alignment horizontal="left" indent="1"/>
    </xf>
    <xf numFmtId="171" fontId="19" fillId="4" borderId="0" xfId="0" applyNumberFormat="1" applyFont="1" applyFill="1" applyBorder="1"/>
    <xf numFmtId="171" fontId="19" fillId="3" borderId="0" xfId="0" applyNumberFormat="1" applyFont="1" applyFill="1" applyBorder="1"/>
    <xf numFmtId="171" fontId="23" fillId="3" borderId="0" xfId="0" applyNumberFormat="1" applyFont="1" applyFill="1" applyBorder="1"/>
    <xf numFmtId="171" fontId="23" fillId="4" borderId="0" xfId="0" applyNumberFormat="1" applyFont="1" applyFill="1" applyBorder="1"/>
    <xf numFmtId="171" fontId="21" fillId="3" borderId="0" xfId="0" applyNumberFormat="1" applyFont="1" applyFill="1" applyBorder="1"/>
    <xf numFmtId="171" fontId="21" fillId="4" borderId="0" xfId="0" applyNumberFormat="1" applyFont="1" applyFill="1" applyBorder="1"/>
    <xf numFmtId="170" fontId="23" fillId="3" borderId="2" xfId="0" applyNumberFormat="1" applyFont="1" applyFill="1" applyBorder="1" applyAlignment="1">
      <alignment horizontal="left" indent="1"/>
    </xf>
    <xf numFmtId="168" fontId="23" fillId="3" borderId="2" xfId="0" applyNumberFormat="1" applyFont="1" applyFill="1" applyBorder="1" applyAlignment="1">
      <alignment horizontal="left" indent="3"/>
    </xf>
    <xf numFmtId="171" fontId="23" fillId="3" borderId="2" xfId="0" applyNumberFormat="1" applyFont="1" applyFill="1" applyBorder="1"/>
    <xf numFmtId="171" fontId="23" fillId="4" borderId="2" xfId="0" applyNumberFormat="1" applyFont="1" applyFill="1" applyBorder="1"/>
    <xf numFmtId="170" fontId="23" fillId="3" borderId="0" xfId="0" applyNumberFormat="1" applyFont="1" applyFill="1" applyBorder="1" applyAlignment="1">
      <alignment horizontal="left"/>
    </xf>
    <xf numFmtId="197" fontId="23" fillId="4" borderId="0" xfId="0" applyNumberFormat="1" applyFont="1" applyFill="1" applyBorder="1"/>
    <xf numFmtId="197" fontId="23" fillId="3" borderId="0" xfId="0" applyNumberFormat="1" applyFont="1" applyFill="1" applyBorder="1"/>
    <xf numFmtId="197" fontId="21" fillId="3" borderId="0" xfId="0" applyNumberFormat="1" applyFont="1" applyFill="1" applyBorder="1"/>
    <xf numFmtId="197" fontId="21" fillId="4" borderId="0" xfId="0" applyNumberFormat="1" applyFont="1" applyFill="1" applyBorder="1"/>
    <xf numFmtId="168" fontId="25" fillId="3" borderId="0" xfId="33" applyNumberFormat="1" applyFont="1" applyFill="1" applyBorder="1" applyAlignment="1">
      <alignment horizontal="left"/>
      <protection/>
    </xf>
    <xf numFmtId="168" fontId="25" fillId="3" borderId="2" xfId="33" applyNumberFormat="1" applyFont="1" applyFill="1" applyBorder="1" applyAlignment="1">
      <alignment horizontal="left" indent="1"/>
      <protection/>
    </xf>
    <xf numFmtId="170" fontId="25" fillId="3" borderId="0" xfId="0" applyNumberFormat="1" applyFont="1" applyFill="1" applyAlignment="1">
      <alignment horizontal="left"/>
    </xf>
    <xf numFmtId="166" fontId="25" fillId="3" borderId="2" xfId="33" applyNumberFormat="1" applyFont="1" applyFill="1" applyBorder="1" applyAlignment="1">
      <alignment horizontal="left"/>
      <protection/>
    </xf>
    <xf numFmtId="170" fontId="20" fillId="3" borderId="7" xfId="27" applyNumberFormat="1" applyFont="1" applyFill="1" applyBorder="1">
      <alignment/>
      <protection/>
    </xf>
    <xf numFmtId="170" fontId="25" fillId="3" borderId="29" xfId="0" applyNumberFormat="1" applyFont="1" applyFill="1" applyBorder="1"/>
    <xf numFmtId="170" fontId="25" fillId="3" borderId="6" xfId="0" applyNumberFormat="1" applyFont="1" applyFill="1" applyBorder="1"/>
    <xf numFmtId="170" fontId="20" fillId="3" borderId="2" xfId="27" applyNumberFormat="1" applyFont="1" applyFill="1" applyBorder="1">
      <alignment/>
      <protection/>
    </xf>
    <xf numFmtId="170" fontId="25" fillId="3" borderId="1" xfId="0" applyNumberFormat="1" applyFont="1" applyFill="1" applyBorder="1"/>
    <xf numFmtId="168" fontId="31" fillId="3" borderId="7" xfId="27" applyNumberFormat="1" applyFont="1" applyFill="1" applyBorder="1" applyAlignment="1">
      <alignment horizontal="left"/>
      <protection/>
    </xf>
    <xf numFmtId="168" fontId="31" fillId="3" borderId="0" xfId="27" applyNumberFormat="1" applyFont="1" applyFill="1" applyBorder="1" applyAlignment="1">
      <alignment horizontal="left"/>
      <protection/>
    </xf>
    <xf numFmtId="168" fontId="31" fillId="3" borderId="2" xfId="27" applyNumberFormat="1" applyFont="1" applyFill="1" applyBorder="1" applyAlignment="1">
      <alignment horizontal="left"/>
      <protection/>
    </xf>
    <xf numFmtId="198" fontId="31" fillId="3" borderId="0" xfId="27" applyNumberFormat="1" applyFont="1" applyFill="1" applyBorder="1" applyAlignment="1">
      <alignment horizontal="right"/>
      <protection/>
    </xf>
    <xf numFmtId="198" fontId="26" fillId="3" borderId="0" xfId="0" applyNumberFormat="1" applyFont="1" applyFill="1" applyBorder="1" applyAlignment="1">
      <alignment horizontal="right"/>
    </xf>
    <xf numFmtId="198" fontId="26" fillId="3" borderId="22" xfId="0" applyNumberFormat="1" applyFont="1" applyFill="1" applyBorder="1" applyAlignment="1">
      <alignment horizontal="right"/>
    </xf>
    <xf numFmtId="198" fontId="26" fillId="3" borderId="4" xfId="0" applyNumberFormat="1" applyFont="1" applyFill="1" applyBorder="1" applyAlignment="1">
      <alignment horizontal="right"/>
    </xf>
    <xf numFmtId="0" fontId="31" fillId="3" borderId="0" xfId="27" applyNumberFormat="1" applyFont="1" applyFill="1" applyBorder="1" applyAlignment="1">
      <alignment horizontal="right"/>
      <protection/>
    </xf>
    <xf numFmtId="0" fontId="26" fillId="3" borderId="0" xfId="0" applyNumberFormat="1" applyFont="1" applyFill="1" applyBorder="1" applyAlignment="1">
      <alignment horizontal="right"/>
    </xf>
    <xf numFmtId="0" fontId="26" fillId="3" borderId="22" xfId="0" applyNumberFormat="1" applyFont="1" applyFill="1" applyBorder="1" applyAlignment="1">
      <alignment horizontal="right"/>
    </xf>
    <xf numFmtId="0" fontId="26" fillId="3" borderId="4" xfId="0" applyNumberFormat="1" applyFont="1" applyFill="1" applyBorder="1" applyAlignment="1">
      <alignment horizontal="right"/>
    </xf>
    <xf numFmtId="0" fontId="2" fillId="3" borderId="0" xfId="30" applyNumberFormat="1" applyFont="1" applyFill="1" applyBorder="1">
      <alignment/>
      <protection/>
    </xf>
    <xf numFmtId="0" fontId="12" fillId="3" borderId="0" xfId="30" applyNumberFormat="1" applyFont="1" applyFill="1" applyBorder="1" applyAlignment="1">
      <alignment vertical="center"/>
      <protection/>
    </xf>
    <xf numFmtId="0" fontId="17" fillId="3" borderId="0" xfId="30" applyNumberFormat="1" applyFont="1" applyFill="1" applyBorder="1" applyAlignment="1">
      <alignment vertical="center"/>
      <protection/>
    </xf>
    <xf numFmtId="0" fontId="2" fillId="3" borderId="0" xfId="30" applyNumberFormat="1" applyFont="1" applyFill="1" applyBorder="1" applyAlignment="1">
      <alignment vertical="center"/>
      <protection/>
    </xf>
    <xf numFmtId="0" fontId="17" fillId="3" borderId="0" xfId="30" applyNumberFormat="1" applyFont="1" applyFill="1" applyBorder="1" applyAlignment="1">
      <alignment horizontal="center" vertical="center"/>
      <protection/>
    </xf>
    <xf numFmtId="0" fontId="12" fillId="3" borderId="0" xfId="30" applyNumberFormat="1" applyFont="1" applyFill="1" applyBorder="1">
      <alignment/>
      <protection/>
    </xf>
    <xf numFmtId="14" fontId="12" fillId="3" borderId="0" xfId="30" applyNumberFormat="1" applyFont="1" applyFill="1" applyBorder="1" applyAlignment="1">
      <alignment horizontal="center" vertical="center"/>
      <protection/>
    </xf>
    <xf numFmtId="0" fontId="12" fillId="3" borderId="0" xfId="30" applyNumberFormat="1" applyFont="1" applyFill="1" applyBorder="1" applyAlignment="1">
      <alignment horizontal="center"/>
      <protection/>
    </xf>
    <xf numFmtId="0" fontId="16" fillId="3" borderId="0" xfId="30" applyNumberFormat="1" applyFont="1" applyFill="1" applyBorder="1">
      <alignment/>
      <protection/>
    </xf>
    <xf numFmtId="0" fontId="15" fillId="3" borderId="0" xfId="30" applyNumberFormat="1" applyFont="1" applyFill="1" applyBorder="1">
      <alignment/>
      <protection/>
    </xf>
    <xf numFmtId="0" fontId="30" fillId="3" borderId="0" xfId="30" applyNumberFormat="1" applyFont="1" applyFill="1" applyBorder="1" applyAlignment="1">
      <alignment horizontal="center"/>
      <protection/>
    </xf>
    <xf numFmtId="1" fontId="15" fillId="3" borderId="0" xfId="30" applyNumberFormat="1" applyFont="1" applyFill="1" applyBorder="1" applyAlignment="1">
      <alignment horizontal="center"/>
      <protection/>
    </xf>
    <xf numFmtId="0" fontId="16" fillId="3" borderId="0" xfId="30" applyNumberFormat="1" applyFont="1" applyFill="1" applyBorder="1" quotePrefix="1">
      <alignment/>
      <protection/>
    </xf>
    <xf numFmtId="0" fontId="17" fillId="3" borderId="0" xfId="30" applyNumberFormat="1" applyFont="1" applyFill="1" applyBorder="1">
      <alignment/>
      <protection/>
    </xf>
    <xf numFmtId="192" fontId="15" fillId="3" borderId="0" xfId="30" applyNumberFormat="1" applyFont="1" applyFill="1" applyBorder="1">
      <alignment/>
      <protection/>
    </xf>
    <xf numFmtId="190" fontId="17" fillId="3" borderId="0" xfId="30" applyNumberFormat="1" applyFont="1" applyFill="1" applyBorder="1" applyAlignment="1">
      <alignment horizontal="center" vertical="center"/>
      <protection/>
    </xf>
    <xf numFmtId="184" fontId="3" fillId="3" borderId="0" xfId="30" applyNumberFormat="1" applyFont="1" applyFill="1" applyBorder="1" applyAlignment="1">
      <alignment horizontal="right"/>
      <protection/>
    </xf>
    <xf numFmtId="185" fontId="3" fillId="3" borderId="0" xfId="30" applyNumberFormat="1" applyFont="1" applyFill="1" applyBorder="1" applyAlignment="1">
      <alignment horizontal="right"/>
      <protection/>
    </xf>
    <xf numFmtId="14" fontId="8" fillId="3" borderId="30" xfId="30" applyNumberFormat="1" applyFont="1" applyFill="1" applyBorder="1" applyAlignment="1">
      <alignment horizontal="center"/>
      <protection/>
    </xf>
    <xf numFmtId="0" fontId="8" fillId="3" borderId="30" xfId="30" applyNumberFormat="1" applyFont="1" applyFill="1" applyBorder="1" applyAlignment="1">
      <alignment horizontal="center"/>
      <protection/>
    </xf>
    <xf numFmtId="0" fontId="2" fillId="3" borderId="30" xfId="30" applyNumberFormat="1" applyFont="1" applyFill="1" applyBorder="1" applyAlignment="1">
      <alignment horizontal="center"/>
      <protection/>
    </xf>
    <xf numFmtId="0" fontId="8" fillId="3" borderId="30" xfId="30" applyNumberFormat="1" applyFont="1" applyFill="1" applyBorder="1" applyAlignment="1">
      <alignment horizontal="left"/>
      <protection/>
    </xf>
    <xf numFmtId="0" fontId="4" fillId="3" borderId="21" xfId="25" applyFill="1" applyBorder="1">
      <alignment/>
      <protection/>
    </xf>
    <xf numFmtId="0" fontId="4" fillId="3" borderId="30" xfId="25" applyFill="1" applyBorder="1">
      <alignment/>
      <protection/>
    </xf>
    <xf numFmtId="14" fontId="8" fillId="3" borderId="31" xfId="30" applyNumberFormat="1" applyFont="1" applyFill="1" applyBorder="1" applyAlignment="1">
      <alignment horizontal="center"/>
      <protection/>
    </xf>
    <xf numFmtId="0" fontId="8" fillId="3" borderId="32" xfId="30" applyNumberFormat="1" applyFont="1" applyFill="1" applyBorder="1" applyAlignment="1">
      <alignment horizontal="center"/>
      <protection/>
    </xf>
    <xf numFmtId="0" fontId="2" fillId="3" borderId="32" xfId="30" applyNumberFormat="1" applyFont="1" applyFill="1" applyBorder="1" applyAlignment="1">
      <alignment horizontal="center"/>
      <protection/>
    </xf>
    <xf numFmtId="0" fontId="8" fillId="3" borderId="32" xfId="30" applyNumberFormat="1" applyFont="1" applyFill="1" applyBorder="1" applyAlignment="1">
      <alignment horizontal="left"/>
      <protection/>
    </xf>
    <xf numFmtId="0" fontId="4" fillId="3" borderId="33" xfId="25" applyFill="1" applyBorder="1">
      <alignment/>
      <protection/>
    </xf>
    <xf numFmtId="0" fontId="4" fillId="3" borderId="33" xfId="25" applyNumberFormat="1" applyFont="1" applyFill="1" applyBorder="1">
      <alignment/>
      <protection/>
    </xf>
    <xf numFmtId="0" fontId="4" fillId="3" borderId="34" xfId="25" applyNumberFormat="1" applyFont="1" applyFill="1" applyBorder="1" applyAlignment="1">
      <alignment horizontal="left"/>
      <protection/>
    </xf>
    <xf numFmtId="14" fontId="8" fillId="3" borderId="21" xfId="30" applyNumberFormat="1" applyFont="1" applyFill="1" applyBorder="1" applyAlignment="1">
      <alignment horizontal="center"/>
      <protection/>
    </xf>
    <xf numFmtId="0" fontId="8" fillId="3" borderId="21" xfId="30" applyNumberFormat="1" applyFont="1" applyFill="1" applyBorder="1" applyAlignment="1">
      <alignment horizontal="center"/>
      <protection/>
    </xf>
    <xf numFmtId="0" fontId="2" fillId="3" borderId="21" xfId="30" applyNumberFormat="1" applyFont="1" applyFill="1" applyBorder="1" applyAlignment="1">
      <alignment horizontal="center"/>
      <protection/>
    </xf>
    <xf numFmtId="0" fontId="8" fillId="3" borderId="21" xfId="30" applyNumberFormat="1" applyFont="1" applyFill="1" applyBorder="1" applyAlignment="1">
      <alignment horizontal="left"/>
      <protection/>
    </xf>
    <xf numFmtId="0" fontId="4" fillId="3" borderId="21" xfId="25" applyNumberFormat="1" applyFont="1" applyFill="1" applyBorder="1" applyAlignment="1">
      <alignment horizontal="left"/>
      <protection/>
    </xf>
    <xf numFmtId="0" fontId="4" fillId="3" borderId="30" xfId="25" applyNumberFormat="1" applyFont="1" applyFill="1" applyBorder="1" applyAlignment="1">
      <alignment horizontal="left"/>
      <protection/>
    </xf>
    <xf numFmtId="14" fontId="12" fillId="6" borderId="0" xfId="30" applyNumberFormat="1" applyFont="1" applyFill="1" applyBorder="1" applyAlignment="1">
      <alignment horizontal="center" vertical="center"/>
      <protection/>
    </xf>
    <xf numFmtId="0" fontId="18" fillId="6" borderId="0" xfId="30" applyNumberFormat="1" applyFont="1" applyFill="1" applyBorder="1" applyAlignment="1">
      <alignment horizontal="center" vertical="center"/>
      <protection/>
    </xf>
    <xf numFmtId="1" fontId="42" fillId="7" borderId="0" xfId="30" applyNumberFormat="1" applyFont="1" applyFill="1" applyBorder="1" applyAlignment="1">
      <alignment horizontal="center" vertical="center"/>
      <protection/>
    </xf>
    <xf numFmtId="166" fontId="42" fillId="7" borderId="0" xfId="16" applyNumberFormat="1" applyFont="1" applyFill="1" applyBorder="1" applyAlignment="1">
      <alignment horizontal="center" vertical="center"/>
      <protection/>
    </xf>
    <xf numFmtId="0" fontId="31" fillId="3" borderId="30" xfId="30" applyNumberFormat="1" applyFont="1" applyFill="1" applyBorder="1" applyAlignment="1">
      <alignment horizontal="center"/>
      <protection/>
    </xf>
    <xf numFmtId="0" fontId="31" fillId="3" borderId="17" xfId="30" applyNumberFormat="1" applyFont="1" applyFill="1" applyBorder="1" applyAlignment="1">
      <alignment horizontal="left"/>
      <protection/>
    </xf>
    <xf numFmtId="1" fontId="7" fillId="3" borderId="22" xfId="0" applyNumberFormat="1" applyFont="1" applyFill="1" applyBorder="1" applyAlignment="1">
      <alignment horizontal="center"/>
    </xf>
    <xf numFmtId="171" fontId="0" fillId="3" borderId="22" xfId="0" applyNumberFormat="1" applyFont="1" applyFill="1" applyBorder="1"/>
    <xf numFmtId="171" fontId="0" fillId="3" borderId="24" xfId="0" applyNumberFormat="1" applyFont="1" applyFill="1" applyBorder="1"/>
    <xf numFmtId="171" fontId="7" fillId="3" borderId="29" xfId="0" applyNumberFormat="1" applyFont="1" applyFill="1" applyBorder="1" applyAlignment="1">
      <alignment horizontal="right"/>
    </xf>
    <xf numFmtId="171" fontId="7" fillId="3" borderId="22" xfId="0" applyNumberFormat="1" applyFont="1" applyFill="1" applyBorder="1" applyAlignment="1">
      <alignment horizontal="right"/>
    </xf>
    <xf numFmtId="171" fontId="25" fillId="3" borderId="22" xfId="0" applyNumberFormat="1" applyFont="1" applyFill="1" applyBorder="1" applyAlignment="1">
      <alignment horizontal="right"/>
    </xf>
    <xf numFmtId="170" fontId="0" fillId="3" borderId="22" xfId="0" applyNumberFormat="1" applyFont="1" applyFill="1" applyBorder="1"/>
    <xf numFmtId="170" fontId="0" fillId="3" borderId="24" xfId="0" applyNumberFormat="1" applyFont="1" applyFill="1" applyBorder="1"/>
    <xf numFmtId="170" fontId="7" fillId="3" borderId="29" xfId="0" applyNumberFormat="1" applyFont="1" applyFill="1" applyBorder="1"/>
    <xf numFmtId="170" fontId="7" fillId="3" borderId="29" xfId="0" applyNumberFormat="1" applyFont="1" applyFill="1" applyBorder="1" applyAlignment="1">
      <alignment horizontal="right"/>
    </xf>
    <xf numFmtId="170" fontId="7" fillId="3" borderId="22" xfId="0" applyNumberFormat="1" applyFont="1" applyFill="1" applyBorder="1"/>
    <xf numFmtId="171" fontId="7" fillId="3" borderId="29" xfId="0" applyNumberFormat="1" applyFont="1" applyFill="1" applyBorder="1"/>
    <xf numFmtId="171" fontId="25" fillId="3" borderId="22" xfId="0" applyNumberFormat="1" applyFont="1" applyFill="1" applyBorder="1"/>
    <xf numFmtId="171" fontId="25" fillId="3" borderId="22" xfId="0" applyNumberFormat="1" applyFont="1" applyFill="1" applyBorder="1" applyAlignment="1">
      <alignment horizontal="left" indent="1"/>
    </xf>
    <xf numFmtId="171" fontId="25" fillId="3" borderId="24" xfId="0" applyNumberFormat="1" applyFont="1" applyFill="1" applyBorder="1" applyAlignment="1">
      <alignment horizontal="left" indent="1"/>
    </xf>
    <xf numFmtId="171" fontId="28" fillId="3" borderId="22" xfId="0" applyNumberFormat="1" applyFont="1" applyFill="1" applyBorder="1"/>
    <xf numFmtId="171" fontId="28" fillId="3" borderId="24" xfId="0" applyNumberFormat="1" applyFont="1" applyFill="1" applyBorder="1"/>
    <xf numFmtId="171" fontId="25" fillId="3" borderId="24" xfId="0" applyNumberFormat="1" applyFont="1" applyFill="1" applyBorder="1"/>
    <xf numFmtId="171" fontId="26" fillId="3" borderId="22" xfId="0" applyNumberFormat="1" applyFont="1" applyFill="1" applyBorder="1"/>
    <xf numFmtId="171" fontId="7" fillId="3" borderId="22" xfId="0" applyNumberFormat="1" applyFont="1" applyFill="1" applyBorder="1"/>
    <xf numFmtId="171" fontId="23" fillId="3" borderId="22" xfId="0" applyNumberFormat="1" applyFont="1" applyFill="1" applyBorder="1"/>
    <xf numFmtId="171" fontId="19" fillId="3" borderId="22" xfId="0" applyNumberFormat="1" applyFont="1" applyFill="1" applyBorder="1"/>
    <xf numFmtId="171" fontId="19" fillId="3" borderId="22" xfId="0" applyNumberFormat="1" applyFont="1" applyFill="1" applyBorder="1" applyAlignment="1">
      <alignment horizontal="right"/>
    </xf>
    <xf numFmtId="182" fontId="7" fillId="3" borderId="22" xfId="0" applyNumberFormat="1" applyFont="1" applyFill="1" applyBorder="1"/>
    <xf numFmtId="166" fontId="26" fillId="3" borderId="22" xfId="0" applyNumberFormat="1" applyFont="1" applyFill="1" applyBorder="1"/>
    <xf numFmtId="166" fontId="25" fillId="3" borderId="22" xfId="0" applyNumberFormat="1" applyFont="1" applyFill="1" applyBorder="1"/>
    <xf numFmtId="166" fontId="25" fillId="3" borderId="24" xfId="0" applyNumberFormat="1" applyFont="1" applyFill="1" applyBorder="1"/>
    <xf numFmtId="170" fontId="0" fillId="3" borderId="29" xfId="0" applyNumberFormat="1" applyFont="1" applyFill="1" applyBorder="1"/>
    <xf numFmtId="170" fontId="28" fillId="3" borderId="24" xfId="0" applyNumberFormat="1" applyFont="1" applyFill="1" applyBorder="1"/>
    <xf numFmtId="170" fontId="28" fillId="3" borderId="35" xfId="0" applyNumberFormat="1" applyFont="1" applyFill="1" applyBorder="1"/>
    <xf numFmtId="194" fontId="25" fillId="3" borderId="22" xfId="0" applyNumberFormat="1" applyFont="1" applyFill="1" applyBorder="1"/>
    <xf numFmtId="171" fontId="23" fillId="3" borderId="24" xfId="0" applyNumberFormat="1" applyFont="1" applyFill="1" applyBorder="1"/>
    <xf numFmtId="195" fontId="25" fillId="3" borderId="22" xfId="0" applyNumberFormat="1" applyFont="1" applyFill="1" applyBorder="1"/>
    <xf numFmtId="197" fontId="23" fillId="3" borderId="22" xfId="0" applyNumberFormat="1" applyFont="1" applyFill="1" applyBorder="1"/>
    <xf numFmtId="173" fontId="26" fillId="3" borderId="22" xfId="16" applyNumberFormat="1" applyFont="1" applyFill="1" applyBorder="1">
      <alignment/>
      <protection/>
    </xf>
    <xf numFmtId="171" fontId="19" fillId="3" borderId="22" xfId="16" applyNumberFormat="1" applyFont="1" applyFill="1" applyBorder="1">
      <alignment/>
      <protection/>
    </xf>
    <xf numFmtId="170" fontId="27" fillId="3" borderId="22" xfId="0" applyNumberFormat="1" applyFont="1" applyFill="1" applyBorder="1"/>
    <xf numFmtId="182" fontId="23" fillId="3" borderId="22" xfId="0" applyNumberFormat="1" applyFont="1" applyFill="1" applyBorder="1"/>
    <xf numFmtId="166" fontId="7" fillId="3" borderId="22" xfId="0" applyNumberFormat="1" applyFont="1" applyFill="1" applyBorder="1" applyAlignment="1">
      <alignment horizontal="right"/>
    </xf>
    <xf numFmtId="188" fontId="0" fillId="3" borderId="22" xfId="0" applyNumberFormat="1" applyFont="1" applyFill="1" applyBorder="1" applyAlignment="1">
      <alignment horizontal="right"/>
    </xf>
    <xf numFmtId="193" fontId="0" fillId="3" borderId="22" xfId="0" applyNumberFormat="1" applyFont="1" applyFill="1" applyBorder="1" applyAlignment="1">
      <alignment horizontal="right"/>
    </xf>
    <xf numFmtId="189" fontId="0" fillId="3" borderId="22" xfId="0" applyNumberFormat="1" applyFont="1" applyFill="1" applyBorder="1" applyAlignment="1">
      <alignment horizontal="right"/>
    </xf>
    <xf numFmtId="170" fontId="28" fillId="3" borderId="22" xfId="0" applyNumberFormat="1" applyFont="1" applyFill="1" applyBorder="1"/>
    <xf numFmtId="170" fontId="27" fillId="3" borderId="29" xfId="0" applyNumberFormat="1" applyFont="1" applyFill="1" applyBorder="1"/>
    <xf numFmtId="17" fontId="34" fillId="3" borderId="22" xfId="33" applyNumberFormat="1" applyFont="1" applyFill="1" applyBorder="1" applyAlignment="1">
      <alignment horizontal="center"/>
      <protection/>
    </xf>
    <xf numFmtId="168" fontId="31" fillId="3" borderId="22" xfId="33" applyNumberFormat="1" applyFont="1" applyFill="1" applyBorder="1" applyAlignment="1">
      <alignment horizontal="center"/>
      <protection/>
    </xf>
    <xf numFmtId="166" fontId="26" fillId="3" borderId="22" xfId="33" applyNumberFormat="1" applyFont="1" applyFill="1" applyBorder="1" applyAlignment="1">
      <alignment horizontal="right"/>
      <protection/>
    </xf>
    <xf numFmtId="170" fontId="26" fillId="3" borderId="29" xfId="33" applyNumberFormat="1" applyFont="1" applyFill="1" applyBorder="1">
      <alignment/>
      <protection/>
    </xf>
    <xf numFmtId="170" fontId="26" fillId="3" borderId="22" xfId="33" applyNumberFormat="1" applyFont="1" applyFill="1" applyBorder="1">
      <alignment/>
      <protection/>
    </xf>
    <xf numFmtId="170" fontId="25" fillId="3" borderId="22" xfId="33" applyNumberFormat="1" applyFont="1" applyFill="1" applyBorder="1">
      <alignment/>
      <protection/>
    </xf>
    <xf numFmtId="170" fontId="25" fillId="3" borderId="24" xfId="33" applyNumberFormat="1" applyFont="1" applyFill="1" applyBorder="1">
      <alignment/>
      <protection/>
    </xf>
    <xf numFmtId="171" fontId="25" fillId="3" borderId="22" xfId="33" applyNumberFormat="1" applyFont="1" applyFill="1" applyBorder="1">
      <alignment/>
      <protection/>
    </xf>
    <xf numFmtId="171" fontId="25" fillId="3" borderId="24" xfId="33" applyNumberFormat="1" applyFont="1" applyFill="1" applyBorder="1">
      <alignment/>
      <protection/>
    </xf>
    <xf numFmtId="171" fontId="26" fillId="3" borderId="29" xfId="33" applyNumberFormat="1" applyFont="1" applyFill="1" applyBorder="1">
      <alignment/>
      <protection/>
    </xf>
    <xf numFmtId="171" fontId="26" fillId="3" borderId="22" xfId="33" applyNumberFormat="1" applyFont="1" applyFill="1" applyBorder="1">
      <alignment/>
      <protection/>
    </xf>
    <xf numFmtId="173" fontId="26" fillId="3" borderId="22" xfId="33" applyNumberFormat="1" applyFont="1" applyFill="1" applyBorder="1">
      <alignment/>
      <protection/>
    </xf>
    <xf numFmtId="171" fontId="26" fillId="3" borderId="22" xfId="33" applyNumberFormat="1" applyFont="1" applyFill="1" applyBorder="1" applyAlignment="1">
      <alignment horizontal="center"/>
      <protection/>
    </xf>
    <xf numFmtId="166" fontId="26" fillId="3" borderId="22" xfId="33" applyNumberFormat="1" applyFont="1" applyFill="1" applyBorder="1" applyAlignment="1">
      <alignment horizontal="center"/>
      <protection/>
    </xf>
    <xf numFmtId="171" fontId="25" fillId="3" borderId="22" xfId="33" applyNumberFormat="1" applyFont="1" applyFill="1" applyBorder="1" applyAlignment="1">
      <alignment horizontal="center"/>
      <protection/>
    </xf>
    <xf numFmtId="182" fontId="26" fillId="3" borderId="22" xfId="33" applyNumberFormat="1" applyFont="1" applyFill="1" applyBorder="1" applyAlignment="1">
      <alignment horizontal="right"/>
      <protection/>
    </xf>
    <xf numFmtId="170" fontId="25" fillId="3" borderId="22" xfId="33" applyNumberFormat="1" applyFont="1" applyFill="1" applyBorder="1" applyAlignment="1">
      <alignment horizontal="right"/>
      <protection/>
    </xf>
    <xf numFmtId="170" fontId="25" fillId="3" borderId="24" xfId="33" applyNumberFormat="1" applyFont="1" applyFill="1" applyBorder="1" applyAlignment="1">
      <alignment horizontal="right"/>
      <protection/>
    </xf>
    <xf numFmtId="170" fontId="26" fillId="3" borderId="29" xfId="33" applyNumberFormat="1" applyFont="1" applyFill="1" applyBorder="1" applyAlignment="1">
      <alignment horizontal="right"/>
      <protection/>
    </xf>
    <xf numFmtId="171" fontId="25" fillId="3" borderId="22" xfId="33" applyNumberFormat="1" applyFont="1" applyFill="1" applyBorder="1" applyAlignment="1">
      <alignment horizontal="right"/>
      <protection/>
    </xf>
    <xf numFmtId="174" fontId="25" fillId="3" borderId="22" xfId="33" applyNumberFormat="1" applyFont="1" applyFill="1" applyBorder="1">
      <alignment/>
      <protection/>
    </xf>
    <xf numFmtId="170" fontId="7" fillId="3" borderId="35" xfId="0" applyNumberFormat="1" applyFont="1" applyFill="1" applyBorder="1"/>
    <xf numFmtId="170" fontId="25" fillId="3" borderId="22" xfId="0" applyNumberFormat="1" applyFont="1" applyFill="1" applyBorder="1" applyAlignment="1">
      <alignment horizontal="left" indent="2"/>
    </xf>
    <xf numFmtId="170" fontId="0" fillId="3" borderId="22" xfId="0" applyNumberFormat="1" applyFont="1" applyFill="1" applyBorder="1" applyAlignment="1">
      <alignment horizontal="left" indent="1"/>
    </xf>
    <xf numFmtId="173" fontId="23" fillId="3" borderId="0" xfId="0" applyNumberFormat="1" applyFont="1" applyFill="1" applyBorder="1" applyAlignment="1">
      <alignment horizontal="right"/>
    </xf>
    <xf numFmtId="182" fontId="23" fillId="3" borderId="0" xfId="0" applyNumberFormat="1" applyFont="1" applyFill="1" applyBorder="1" applyAlignment="1">
      <alignment horizontal="right"/>
    </xf>
    <xf numFmtId="0" fontId="12" fillId="0" borderId="0" xfId="30" applyNumberFormat="1" applyFont="1" applyFill="1" applyBorder="1">
      <alignment/>
      <protection/>
    </xf>
    <xf numFmtId="0" fontId="43" fillId="3" borderId="0" xfId="25" applyNumberFormat="1" applyFont="1" applyFill="1" applyBorder="1">
      <alignment/>
      <protection/>
    </xf>
    <xf numFmtId="199" fontId="20" fillId="3" borderId="18" xfId="27" applyNumberFormat="1" applyFont="1" applyFill="1" applyBorder="1" applyAlignment="1">
      <alignment horizontal="left" indent="1"/>
      <protection/>
    </xf>
    <xf numFmtId="166" fontId="7" fillId="3" borderId="29" xfId="0" applyNumberFormat="1" applyFont="1" applyFill="1" applyBorder="1"/>
    <xf numFmtId="170" fontId="8" fillId="3" borderId="22" xfId="16" applyNumberFormat="1" applyFont="1" applyFill="1" applyBorder="1">
      <alignment/>
      <protection/>
    </xf>
    <xf numFmtId="170" fontId="8" fillId="3" borderId="24" xfId="16" applyNumberFormat="1" applyFont="1" applyFill="1" applyBorder="1">
      <alignment/>
      <protection/>
    </xf>
    <xf numFmtId="170" fontId="6" fillId="3" borderId="29" xfId="16" applyNumberFormat="1" applyFont="1" applyFill="1" applyBorder="1">
      <alignment/>
      <protection/>
    </xf>
    <xf numFmtId="171" fontId="29" fillId="3" borderId="22" xfId="16" applyNumberFormat="1" applyFont="1" applyFill="1" applyBorder="1">
      <alignment/>
      <protection/>
    </xf>
    <xf numFmtId="17" fontId="2" fillId="3" borderId="22" xfId="0" applyNumberFormat="1" applyFont="1" applyFill="1" applyBorder="1" applyAlignment="1">
      <alignment horizontal="center"/>
    </xf>
    <xf numFmtId="0" fontId="3" fillId="3" borderId="22" xfId="0" applyNumberFormat="1" applyFont="1" applyFill="1" applyBorder="1" applyAlignment="1">
      <alignment horizontal="center"/>
    </xf>
    <xf numFmtId="170" fontId="23" fillId="3" borderId="22" xfId="0" applyNumberFormat="1" applyFont="1" applyFill="1" applyBorder="1"/>
    <xf numFmtId="170" fontId="25" fillId="3" borderId="22" xfId="0" applyNumberFormat="1" applyFont="1" applyFill="1" applyBorder="1" applyAlignment="1">
      <alignment horizontal="left" indent="1"/>
    </xf>
    <xf numFmtId="170" fontId="25" fillId="3" borderId="24" xfId="0" applyNumberFormat="1" applyFont="1" applyFill="1" applyBorder="1" applyAlignment="1">
      <alignment horizontal="left" indent="1"/>
    </xf>
    <xf numFmtId="173" fontId="23" fillId="3" borderId="22" xfId="0" applyNumberFormat="1" applyFont="1" applyFill="1" applyBorder="1"/>
    <xf numFmtId="173" fontId="26" fillId="3" borderId="22" xfId="0" applyNumberFormat="1" applyFont="1" applyFill="1" applyBorder="1"/>
    <xf numFmtId="174" fontId="25" fillId="3" borderId="22" xfId="0" applyNumberFormat="1" applyFont="1" applyFill="1" applyBorder="1" applyAlignment="1">
      <alignment horizontal="right"/>
    </xf>
    <xf numFmtId="193" fontId="25" fillId="3" borderId="22" xfId="0" applyNumberFormat="1" applyFont="1" applyFill="1" applyBorder="1"/>
    <xf numFmtId="168" fontId="22" fillId="5" borderId="0" xfId="0" applyNumberFormat="1" applyFont="1" applyFill="1" applyBorder="1"/>
    <xf numFmtId="168" fontId="23" fillId="3" borderId="0" xfId="0" applyNumberFormat="1" applyFont="1" applyFill="1" applyBorder="1"/>
    <xf numFmtId="168" fontId="25" fillId="3" borderId="0" xfId="0" applyNumberFormat="1" applyFont="1" applyFill="1" applyBorder="1"/>
    <xf numFmtId="168" fontId="25" fillId="3" borderId="22" xfId="0" applyNumberFormat="1" applyFont="1" applyFill="1" applyBorder="1"/>
    <xf numFmtId="168" fontId="26" fillId="3" borderId="0" xfId="0" applyNumberFormat="1" applyFont="1" applyFill="1" applyBorder="1"/>
    <xf numFmtId="168" fontId="22" fillId="5" borderId="2" xfId="0" applyNumberFormat="1" applyFont="1" applyFill="1" applyBorder="1"/>
    <xf numFmtId="168" fontId="20" fillId="3" borderId="0" xfId="0" applyNumberFormat="1" applyFont="1" applyFill="1" applyBorder="1"/>
    <xf numFmtId="168" fontId="0" fillId="3" borderId="0" xfId="0" applyNumberFormat="1" applyFont="1" applyFill="1" applyBorder="1"/>
    <xf numFmtId="168" fontId="32" fillId="5" borderId="0" xfId="0" applyNumberFormat="1" applyFont="1" applyFill="1" applyBorder="1"/>
    <xf numFmtId="168" fontId="32" fillId="5" borderId="22" xfId="0" applyNumberFormat="1" applyFont="1" applyFill="1" applyBorder="1"/>
    <xf numFmtId="168" fontId="29" fillId="3" borderId="0" xfId="0" applyNumberFormat="1" applyFont="1" applyFill="1" applyBorder="1" applyAlignment="1">
      <alignment horizontal="left" indent="1"/>
    </xf>
    <xf numFmtId="168" fontId="23" fillId="3" borderId="0" xfId="0" applyNumberFormat="1" applyFont="1" applyFill="1" applyBorder="1" applyAlignment="1">
      <alignment horizontal="left" indent="3"/>
    </xf>
    <xf numFmtId="168" fontId="35" fillId="5" borderId="0" xfId="33" applyNumberFormat="1" applyFont="1" applyFill="1" applyBorder="1">
      <alignment/>
      <protection/>
    </xf>
    <xf numFmtId="168" fontId="25" fillId="3" borderId="0" xfId="33" applyNumberFormat="1" applyFont="1" applyFill="1" applyBorder="1">
      <alignment/>
      <protection/>
    </xf>
    <xf numFmtId="168" fontId="26" fillId="3" borderId="0" xfId="33" applyNumberFormat="1" applyFont="1" applyFill="1" applyBorder="1">
      <alignment/>
      <protection/>
    </xf>
    <xf numFmtId="170" fontId="0" fillId="3" borderId="22" xfId="0" applyNumberFormat="1" applyFont="1" applyFill="1" applyBorder="1" applyAlignment="1">
      <alignment horizontal="left" indent="2"/>
    </xf>
    <xf numFmtId="170" fontId="0" fillId="3" borderId="24" xfId="0" applyNumberFormat="1" applyFont="1" applyFill="1" applyBorder="1" applyAlignment="1">
      <alignment horizontal="left" indent="2"/>
    </xf>
    <xf numFmtId="170" fontId="0" fillId="3" borderId="24" xfId="0" applyNumberFormat="1" applyFont="1" applyFill="1" applyBorder="1" applyAlignment="1">
      <alignment horizontal="left" indent="1"/>
    </xf>
    <xf numFmtId="166" fontId="7" fillId="3" borderId="22" xfId="0" applyNumberFormat="1" applyFont="1" applyFill="1" applyBorder="1"/>
    <xf numFmtId="166" fontId="0" fillId="3" borderId="22" xfId="0" applyNumberFormat="1" applyFont="1" applyFill="1" applyBorder="1"/>
    <xf numFmtId="173" fontId="7" fillId="3" borderId="22" xfId="0" applyNumberFormat="1" applyFont="1" applyFill="1" applyBorder="1"/>
    <xf numFmtId="168" fontId="22" fillId="5" borderId="0" xfId="0" applyNumberFormat="1" applyFont="1" applyFill="1" applyBorder="1"/>
    <xf numFmtId="168" fontId="22" fillId="5" borderId="22" xfId="0" applyNumberFormat="1" applyFont="1" applyFill="1" applyBorder="1"/>
    <xf numFmtId="168" fontId="23" fillId="4" borderId="0" xfId="0" applyNumberFormat="1" applyFont="1" applyFill="1" applyBorder="1"/>
    <xf numFmtId="168" fontId="23" fillId="3" borderId="0" xfId="0" applyNumberFormat="1" applyFont="1" applyFill="1" applyBorder="1"/>
    <xf numFmtId="168" fontId="29" fillId="3" borderId="0" xfId="0" applyNumberFormat="1" applyFont="1" applyFill="1" applyBorder="1"/>
    <xf numFmtId="168" fontId="23" fillId="4" borderId="0" xfId="0" applyNumberFormat="1" applyFont="1" applyFill="1" applyBorder="1" applyAlignment="1">
      <alignment horizontal="center"/>
    </xf>
    <xf numFmtId="168" fontId="23" fillId="3" borderId="22" xfId="0" applyNumberFormat="1" applyFont="1" applyFill="1" applyBorder="1"/>
    <xf numFmtId="168" fontId="23" fillId="3" borderId="0" xfId="0" applyNumberFormat="1" applyFont="1" applyFill="1" applyBorder="1" applyAlignment="1">
      <alignment horizontal="right"/>
    </xf>
    <xf numFmtId="168" fontId="23" fillId="4" borderId="0" xfId="0" applyNumberFormat="1" applyFont="1" applyFill="1" applyBorder="1" applyAlignment="1">
      <alignment horizontal="right"/>
    </xf>
    <xf numFmtId="168" fontId="25" fillId="4" borderId="0" xfId="0" applyNumberFormat="1" applyFont="1" applyFill="1" applyBorder="1"/>
    <xf numFmtId="168" fontId="25" fillId="3" borderId="0" xfId="0" applyNumberFormat="1" applyFont="1" applyFill="1" applyBorder="1"/>
    <xf numFmtId="168" fontId="25" fillId="3" borderId="22" xfId="0" applyNumberFormat="1" applyFont="1" applyFill="1" applyBorder="1"/>
    <xf numFmtId="168" fontId="26" fillId="4" borderId="0" xfId="0" applyNumberFormat="1" applyFont="1" applyFill="1" applyBorder="1"/>
    <xf numFmtId="168" fontId="26" fillId="3" borderId="0" xfId="0" applyNumberFormat="1" applyFont="1" applyFill="1" applyBorder="1"/>
    <xf numFmtId="168" fontId="26" fillId="3" borderId="22" xfId="0" applyNumberFormat="1" applyFont="1" applyFill="1" applyBorder="1"/>
    <xf numFmtId="168" fontId="22" fillId="5" borderId="2" xfId="0" applyNumberFormat="1" applyFont="1" applyFill="1" applyBorder="1"/>
    <xf numFmtId="168" fontId="22" fillId="5" borderId="24" xfId="0" applyNumberFormat="1" applyFont="1" applyFill="1" applyBorder="1"/>
    <xf numFmtId="168" fontId="20" fillId="3" borderId="0" xfId="0" applyNumberFormat="1" applyFont="1" applyFill="1" applyBorder="1"/>
    <xf numFmtId="168" fontId="25" fillId="4" borderId="0" xfId="0" applyNumberFormat="1" applyFont="1" applyFill="1" applyBorder="1" applyAlignment="1">
      <alignment horizontal="center"/>
    </xf>
    <xf numFmtId="168" fontId="25" fillId="3" borderId="0" xfId="0" applyNumberFormat="1" applyFont="1" applyFill="1" applyBorder="1" applyAlignment="1">
      <alignment horizontal="center"/>
    </xf>
    <xf numFmtId="168" fontId="23" fillId="4" borderId="7" xfId="0" applyNumberFormat="1" applyFont="1" applyFill="1" applyBorder="1"/>
    <xf numFmtId="168" fontId="23" fillId="3" borderId="7" xfId="0" applyNumberFormat="1" applyFont="1" applyFill="1" applyBorder="1"/>
    <xf numFmtId="168" fontId="23" fillId="3" borderId="29" xfId="0" applyNumberFormat="1" applyFont="1" applyFill="1" applyBorder="1"/>
    <xf numFmtId="168" fontId="0" fillId="4" borderId="0" xfId="0" applyNumberFormat="1" applyFont="1" applyFill="1" applyBorder="1"/>
    <xf numFmtId="168" fontId="0" fillId="3" borderId="0" xfId="0" applyNumberFormat="1" applyFont="1" applyFill="1" applyBorder="1"/>
    <xf numFmtId="168" fontId="0" fillId="3" borderId="22" xfId="0" applyNumberFormat="1" applyFont="1" applyFill="1" applyBorder="1"/>
    <xf numFmtId="168" fontId="20" fillId="3" borderId="0" xfId="16" applyNumberFormat="1" applyFont="1" applyFill="1" applyBorder="1">
      <alignment/>
      <protection/>
    </xf>
    <xf numFmtId="168" fontId="25" fillId="4" borderId="0" xfId="0" applyNumberFormat="1" applyFont="1" applyFill="1" applyBorder="1" applyAlignment="1">
      <alignment horizontal="right"/>
    </xf>
    <xf numFmtId="168" fontId="20" fillId="3" borderId="22" xfId="16" applyNumberFormat="1" applyFont="1" applyFill="1" applyBorder="1">
      <alignment/>
      <protection/>
    </xf>
    <xf numFmtId="168" fontId="32" fillId="5" borderId="0" xfId="0" applyNumberFormat="1" applyFont="1" applyFill="1" applyBorder="1"/>
    <xf numFmtId="168" fontId="32" fillId="5" borderId="22" xfId="0" applyNumberFormat="1" applyFont="1" applyFill="1" applyBorder="1"/>
    <xf numFmtId="168" fontId="26" fillId="3" borderId="8" xfId="0" applyNumberFormat="1" applyFont="1" applyFill="1" applyBorder="1"/>
    <xf numFmtId="168" fontId="26" fillId="3" borderId="7" xfId="0" applyNumberFormat="1" applyFont="1" applyFill="1" applyBorder="1"/>
    <xf numFmtId="168" fontId="26" fillId="3" borderId="29" xfId="0" applyNumberFormat="1" applyFont="1" applyFill="1" applyBorder="1"/>
    <xf numFmtId="168" fontId="26" fillId="3" borderId="6" xfId="0" applyNumberFormat="1" applyFont="1" applyFill="1" applyBorder="1"/>
    <xf numFmtId="168" fontId="26" fillId="3" borderId="5" xfId="0" applyNumberFormat="1" applyFont="1" applyFill="1" applyBorder="1"/>
    <xf numFmtId="168" fontId="26" fillId="3" borderId="4" xfId="0" applyNumberFormat="1" applyFont="1" applyFill="1" applyBorder="1"/>
    <xf numFmtId="168" fontId="29" fillId="3" borderId="0" xfId="0" applyNumberFormat="1" applyFont="1" applyFill="1" applyBorder="1" applyAlignment="1">
      <alignment horizontal="left" indent="1"/>
    </xf>
    <xf numFmtId="168" fontId="23" fillId="3" borderId="0" xfId="0" applyNumberFormat="1" applyFont="1" applyFill="1" applyBorder="1" applyAlignment="1">
      <alignment horizontal="left" indent="3"/>
    </xf>
    <xf numFmtId="168" fontId="23" fillId="3" borderId="0" xfId="0" applyNumberFormat="1" applyFont="1" applyFill="1" applyBorder="1" applyAlignment="1">
      <alignment horizontal="left" indent="4"/>
    </xf>
    <xf numFmtId="168" fontId="25" fillId="4" borderId="2" xfId="33" applyNumberFormat="1" applyFont="1" applyFill="1" applyBorder="1" applyAlignment="1">
      <alignment horizontal="right"/>
      <protection/>
    </xf>
    <xf numFmtId="168" fontId="25" fillId="3" borderId="2" xfId="33" applyNumberFormat="1" applyFont="1" applyFill="1" applyBorder="1" applyAlignment="1">
      <alignment horizontal="right"/>
      <protection/>
    </xf>
    <xf numFmtId="168" fontId="25" fillId="4" borderId="2" xfId="33" applyNumberFormat="1" applyFont="1" applyFill="1" applyBorder="1">
      <alignment/>
      <protection/>
    </xf>
    <xf numFmtId="168" fontId="25" fillId="3" borderId="24" xfId="33" applyNumberFormat="1" applyFont="1" applyFill="1" applyBorder="1" applyAlignment="1">
      <alignment horizontal="right"/>
      <protection/>
    </xf>
    <xf numFmtId="168" fontId="35" fillId="5" borderId="0" xfId="33" applyNumberFormat="1" applyFont="1" applyFill="1" applyBorder="1">
      <alignment/>
      <protection/>
    </xf>
    <xf numFmtId="168" fontId="35" fillId="5" borderId="22" xfId="33" applyNumberFormat="1" applyFont="1" applyFill="1" applyBorder="1">
      <alignment/>
      <protection/>
    </xf>
    <xf numFmtId="168" fontId="25" fillId="4" borderId="0" xfId="33" applyNumberFormat="1" applyFont="1" applyFill="1" applyBorder="1">
      <alignment/>
      <protection/>
    </xf>
    <xf numFmtId="168" fontId="25" fillId="3" borderId="0" xfId="33" applyNumberFormat="1" applyFont="1" applyFill="1" applyBorder="1">
      <alignment/>
      <protection/>
    </xf>
    <xf numFmtId="168" fontId="25" fillId="3" borderId="22" xfId="33" applyNumberFormat="1" applyFont="1" applyFill="1" applyBorder="1">
      <alignment/>
      <protection/>
    </xf>
    <xf numFmtId="168" fontId="26" fillId="4" borderId="0" xfId="33" applyNumberFormat="1" applyFont="1" applyFill="1" applyBorder="1">
      <alignment/>
      <protection/>
    </xf>
    <xf numFmtId="168" fontId="26" fillId="3" borderId="0" xfId="33" applyNumberFormat="1" applyFont="1" applyFill="1" applyBorder="1">
      <alignment/>
      <protection/>
    </xf>
    <xf numFmtId="168" fontId="26" fillId="3" borderId="22" xfId="33" applyNumberFormat="1" applyFont="1" applyFill="1" applyBorder="1">
      <alignment/>
      <protection/>
    </xf>
    <xf numFmtId="168" fontId="20" fillId="2" borderId="0" xfId="24" applyNumberFormat="1" applyFont="1" applyFill="1" applyBorder="1" applyAlignment="1">
      <alignment horizontal="right"/>
      <protection/>
    </xf>
    <xf numFmtId="168" fontId="20" fillId="2" borderId="22" xfId="24" applyNumberFormat="1" applyFont="1" applyFill="1" applyBorder="1" applyAlignment="1">
      <alignment horizontal="right"/>
      <protection/>
    </xf>
    <xf numFmtId="0" fontId="15" fillId="3" borderId="0" xfId="30" applyNumberFormat="1" applyFont="1" applyFill="1" applyBorder="1" applyAlignment="1">
      <alignment horizontal="left" wrapText="1" indent="1"/>
      <protection/>
    </xf>
    <xf numFmtId="0" fontId="37" fillId="3" borderId="0" xfId="25" applyFont="1" applyFill="1">
      <alignment/>
      <protection/>
    </xf>
    <xf numFmtId="17" fontId="46" fillId="4" borderId="0" xfId="0" applyNumberFormat="1" applyFont="1" applyFill="1" applyBorder="1" applyAlignment="1">
      <alignment horizontal="center"/>
    </xf>
    <xf numFmtId="17" fontId="20" fillId="3" borderId="22" xfId="0" applyNumberFormat="1" applyFont="1" applyFill="1" applyBorder="1" applyAlignment="1">
      <alignment horizontal="center"/>
    </xf>
    <xf numFmtId="0" fontId="44" fillId="4" borderId="0" xfId="0" applyNumberFormat="1" applyFont="1" applyFill="1" applyBorder="1" applyAlignment="1">
      <alignment horizontal="center"/>
    </xf>
    <xf numFmtId="0" fontId="31" fillId="3" borderId="22" xfId="0" applyNumberFormat="1" applyFont="1" applyFill="1" applyBorder="1" applyAlignment="1">
      <alignment horizontal="center"/>
    </xf>
    <xf numFmtId="171" fontId="46" fillId="3" borderId="0" xfId="0" applyNumberFormat="1" applyFont="1" applyFill="1" applyBorder="1"/>
    <xf numFmtId="171" fontId="46" fillId="4" borderId="0" xfId="0" applyNumberFormat="1" applyFont="1" applyFill="1" applyBorder="1"/>
    <xf numFmtId="171" fontId="46" fillId="3" borderId="2" xfId="0" applyNumberFormat="1" applyFont="1" applyFill="1" applyBorder="1"/>
    <xf numFmtId="171" fontId="46" fillId="4" borderId="2" xfId="0" applyNumberFormat="1" applyFont="1" applyFill="1" applyBorder="1"/>
    <xf numFmtId="171" fontId="46" fillId="3" borderId="0" xfId="0" applyNumberFormat="1" applyFont="1" applyFill="1" applyBorder="1" applyAlignment="1">
      <alignment horizontal="left" indent="1"/>
    </xf>
    <xf numFmtId="171" fontId="46" fillId="4" borderId="0" xfId="0" applyNumberFormat="1" applyFont="1" applyFill="1" applyBorder="1" applyAlignment="1">
      <alignment horizontal="left" indent="1"/>
    </xf>
    <xf numFmtId="171" fontId="46" fillId="3" borderId="2" xfId="0" applyNumberFormat="1" applyFont="1" applyFill="1" applyBorder="1" applyAlignment="1">
      <alignment horizontal="left" indent="1"/>
    </xf>
    <xf numFmtId="171" fontId="46" fillId="4" borderId="2" xfId="0" applyNumberFormat="1" applyFont="1" applyFill="1" applyBorder="1" applyAlignment="1">
      <alignment horizontal="left" indent="1"/>
    </xf>
    <xf numFmtId="171" fontId="45" fillId="3" borderId="0" xfId="0" applyNumberFormat="1" applyFont="1" applyFill="1" applyBorder="1"/>
    <xf numFmtId="171" fontId="45" fillId="4" borderId="0" xfId="0" applyNumberFormat="1" applyFont="1" applyFill="1" applyBorder="1"/>
    <xf numFmtId="171" fontId="45" fillId="3" borderId="0" xfId="0" applyNumberFormat="1" applyFont="1" applyFill="1" applyBorder="1" applyAlignment="1">
      <alignment horizontal="right"/>
    </xf>
    <xf numFmtId="171" fontId="45" fillId="4" borderId="0" xfId="0" applyNumberFormat="1" applyFont="1" applyFill="1" applyBorder="1" applyAlignment="1">
      <alignment horizontal="right"/>
    </xf>
    <xf numFmtId="182" fontId="44" fillId="3" borderId="0" xfId="0" applyNumberFormat="1" applyFont="1" applyFill="1" applyBorder="1"/>
    <xf numFmtId="182" fontId="44" fillId="4" borderId="0" xfId="0" applyNumberFormat="1" applyFont="1" applyFill="1" applyBorder="1"/>
    <xf numFmtId="170" fontId="44" fillId="3" borderId="0" xfId="0" applyNumberFormat="1" applyFont="1" applyFill="1" applyBorder="1"/>
    <xf numFmtId="170" fontId="44" fillId="4" borderId="0" xfId="0" applyNumberFormat="1" applyFont="1" applyFill="1" applyBorder="1"/>
    <xf numFmtId="170" fontId="46" fillId="4" borderId="0" xfId="0" applyNumberFormat="1" applyFont="1" applyFill="1" applyBorder="1"/>
    <xf numFmtId="170" fontId="46" fillId="3" borderId="0" xfId="0" applyNumberFormat="1" applyFont="1" applyFill="1" applyBorder="1"/>
    <xf numFmtId="170" fontId="46" fillId="3" borderId="22" xfId="0" applyNumberFormat="1" applyFont="1" applyFill="1" applyBorder="1"/>
    <xf numFmtId="170" fontId="46" fillId="4" borderId="2" xfId="0" applyNumberFormat="1" applyFont="1" applyFill="1" applyBorder="1"/>
    <xf numFmtId="170" fontId="46" fillId="3" borderId="2" xfId="0" applyNumberFormat="1" applyFont="1" applyFill="1" applyBorder="1"/>
    <xf numFmtId="170" fontId="46" fillId="3" borderId="24" xfId="0" applyNumberFormat="1" applyFont="1" applyFill="1" applyBorder="1"/>
    <xf numFmtId="171" fontId="46" fillId="3" borderId="22" xfId="0" applyNumberFormat="1" applyFont="1" applyFill="1" applyBorder="1"/>
    <xf numFmtId="171" fontId="46" fillId="3" borderId="24" xfId="0" applyNumberFormat="1" applyFont="1" applyFill="1" applyBorder="1"/>
    <xf numFmtId="170" fontId="46" fillId="4" borderId="0" xfId="0" applyNumberFormat="1" applyFont="1" applyFill="1" applyBorder="1" applyAlignment="1">
      <alignment horizontal="left" indent="2"/>
    </xf>
    <xf numFmtId="170" fontId="46" fillId="3" borderId="0" xfId="0" applyNumberFormat="1" applyFont="1" applyFill="1" applyBorder="1" applyAlignment="1">
      <alignment horizontal="left" indent="2"/>
    </xf>
    <xf numFmtId="170" fontId="46" fillId="3" borderId="22" xfId="0" applyNumberFormat="1" applyFont="1" applyFill="1" applyBorder="1" applyAlignment="1">
      <alignment horizontal="left" indent="2"/>
    </xf>
    <xf numFmtId="170" fontId="46" fillId="4" borderId="2" xfId="0" applyNumberFormat="1" applyFont="1" applyFill="1" applyBorder="1" applyAlignment="1">
      <alignment horizontal="left" indent="2"/>
    </xf>
    <xf numFmtId="170" fontId="46" fillId="3" borderId="2" xfId="0" applyNumberFormat="1" applyFont="1" applyFill="1" applyBorder="1" applyAlignment="1">
      <alignment horizontal="left" indent="2"/>
    </xf>
    <xf numFmtId="170" fontId="46" fillId="3" borderId="24" xfId="0" applyNumberFormat="1" applyFont="1" applyFill="1" applyBorder="1" applyAlignment="1">
      <alignment horizontal="left" indent="2"/>
    </xf>
    <xf numFmtId="170" fontId="46" fillId="4" borderId="2" xfId="0" applyNumberFormat="1" applyFont="1" applyFill="1" applyBorder="1" applyAlignment="1">
      <alignment horizontal="left" indent="1"/>
    </xf>
    <xf numFmtId="170" fontId="46" fillId="3" borderId="2" xfId="0" applyNumberFormat="1" applyFont="1" applyFill="1" applyBorder="1" applyAlignment="1">
      <alignment horizontal="left" indent="1"/>
    </xf>
    <xf numFmtId="170" fontId="46" fillId="3" borderId="24" xfId="0" applyNumberFormat="1" applyFont="1" applyFill="1" applyBorder="1" applyAlignment="1">
      <alignment horizontal="left" indent="1"/>
    </xf>
    <xf numFmtId="166" fontId="44" fillId="4" borderId="0" xfId="0" applyNumberFormat="1" applyFont="1" applyFill="1" applyBorder="1"/>
    <xf numFmtId="166" fontId="44" fillId="3" borderId="0" xfId="0" applyNumberFormat="1" applyFont="1" applyFill="1" applyBorder="1"/>
    <xf numFmtId="166" fontId="44" fillId="3" borderId="22" xfId="0" applyNumberFormat="1" applyFont="1" applyFill="1" applyBorder="1"/>
    <xf numFmtId="166" fontId="46" fillId="4" borderId="0" xfId="0" applyNumberFormat="1" applyFont="1" applyFill="1" applyBorder="1"/>
    <xf numFmtId="166" fontId="46" fillId="3" borderId="0" xfId="0" applyNumberFormat="1" applyFont="1" applyFill="1" applyBorder="1"/>
    <xf numFmtId="166" fontId="46" fillId="3" borderId="22" xfId="0" applyNumberFormat="1" applyFont="1" applyFill="1" applyBorder="1"/>
    <xf numFmtId="166" fontId="46" fillId="4" borderId="2" xfId="0" applyNumberFormat="1" applyFont="1" applyFill="1" applyBorder="1"/>
    <xf numFmtId="166" fontId="46" fillId="3" borderId="2" xfId="0" applyNumberFormat="1" applyFont="1" applyFill="1" applyBorder="1"/>
    <xf numFmtId="170" fontId="25" fillId="3" borderId="35" xfId="0" applyNumberFormat="1" applyFont="1" applyFill="1" applyBorder="1"/>
    <xf numFmtId="171" fontId="44" fillId="3" borderId="0" xfId="0" applyNumberFormat="1" applyFont="1" applyFill="1" applyBorder="1"/>
    <xf numFmtId="171" fontId="44" fillId="4" borderId="0" xfId="0" applyNumberFormat="1" applyFont="1" applyFill="1" applyBorder="1"/>
    <xf numFmtId="168" fontId="46" fillId="4" borderId="0" xfId="0" applyNumberFormat="1" applyFont="1" applyFill="1" applyBorder="1"/>
    <xf numFmtId="168" fontId="46" fillId="3" borderId="0" xfId="0" applyNumberFormat="1" applyFont="1" applyFill="1" applyBorder="1"/>
    <xf numFmtId="168" fontId="46" fillId="3" borderId="22" xfId="0" applyNumberFormat="1" applyFont="1" applyFill="1" applyBorder="1"/>
    <xf numFmtId="195" fontId="46" fillId="4" borderId="0" xfId="0" applyNumberFormat="1" applyFont="1" applyFill="1" applyBorder="1"/>
    <xf numFmtId="195" fontId="46" fillId="3" borderId="0" xfId="0" applyNumberFormat="1" applyFont="1" applyFill="1" applyBorder="1"/>
    <xf numFmtId="195" fontId="46" fillId="3" borderId="22" xfId="0" applyNumberFormat="1" applyFont="1" applyFill="1" applyBorder="1"/>
    <xf numFmtId="197" fontId="45" fillId="3" borderId="0" xfId="0" applyNumberFormat="1" applyFont="1" applyFill="1" applyBorder="1"/>
    <xf numFmtId="197" fontId="45" fillId="4" borderId="0" xfId="0" applyNumberFormat="1" applyFont="1" applyFill="1" applyBorder="1"/>
    <xf numFmtId="166" fontId="44" fillId="3" borderId="0" xfId="16" applyNumberFormat="1" applyFont="1" applyFill="1" applyBorder="1">
      <alignment/>
      <protection/>
    </xf>
    <xf numFmtId="166" fontId="44" fillId="4" borderId="0" xfId="16" applyNumberFormat="1" applyFont="1" applyFill="1" applyBorder="1">
      <alignment/>
      <protection/>
    </xf>
    <xf numFmtId="166" fontId="44" fillId="3" borderId="0" xfId="0" applyNumberFormat="1" applyFont="1" applyFill="1" applyBorder="1" applyAlignment="1">
      <alignment horizontal="left"/>
    </xf>
    <xf numFmtId="170" fontId="26" fillId="3" borderId="29" xfId="0" applyNumberFormat="1" applyFont="1" applyFill="1" applyBorder="1"/>
    <xf numFmtId="170" fontId="47" fillId="3" borderId="4" xfId="27" applyNumberFormat="1" applyFont="1" applyFill="1" applyBorder="1">
      <alignment/>
      <protection/>
    </xf>
    <xf numFmtId="170" fontId="47" fillId="3" borderId="1" xfId="27" applyNumberFormat="1" applyFont="1" applyFill="1" applyBorder="1">
      <alignment/>
      <protection/>
    </xf>
    <xf numFmtId="188" fontId="47" fillId="3" borderId="0" xfId="27" applyNumberFormat="1" applyFont="1" applyFill="1" applyBorder="1">
      <alignment/>
      <protection/>
    </xf>
    <xf numFmtId="188" fontId="46" fillId="3" borderId="0" xfId="0" applyNumberFormat="1" applyFont="1" applyFill="1" applyBorder="1"/>
    <xf numFmtId="188" fontId="46" fillId="3" borderId="22" xfId="0" applyNumberFormat="1" applyFont="1" applyFill="1" applyBorder="1"/>
    <xf numFmtId="189" fontId="47" fillId="3" borderId="0" xfId="27" applyNumberFormat="1" applyFont="1" applyFill="1" applyBorder="1">
      <alignment/>
      <protection/>
    </xf>
    <xf numFmtId="189" fontId="46" fillId="3" borderId="0" xfId="0" applyNumberFormat="1" applyFont="1" applyFill="1" applyBorder="1"/>
    <xf numFmtId="189" fontId="46" fillId="3" borderId="22" xfId="0" applyNumberFormat="1" applyFont="1" applyFill="1" applyBorder="1"/>
    <xf numFmtId="193" fontId="47" fillId="3" borderId="0" xfId="27" applyNumberFormat="1" applyFont="1" applyFill="1" applyBorder="1">
      <alignment/>
      <protection/>
    </xf>
    <xf numFmtId="193" fontId="46" fillId="3" borderId="0" xfId="0" applyNumberFormat="1" applyFont="1" applyFill="1" applyBorder="1"/>
    <xf numFmtId="193" fontId="46" fillId="3" borderId="22" xfId="0" applyNumberFormat="1" applyFont="1" applyFill="1" applyBorder="1"/>
    <xf numFmtId="1" fontId="7" fillId="8" borderId="0" xfId="0" applyNumberFormat="1" applyFont="1" applyFill="1" applyBorder="1" applyAlignment="1">
      <alignment horizontal="center"/>
    </xf>
    <xf numFmtId="1" fontId="26" fillId="8" borderId="0" xfId="0" applyNumberFormat="1" applyFont="1" applyFill="1" applyBorder="1" applyAlignment="1">
      <alignment horizontal="center"/>
    </xf>
    <xf numFmtId="17" fontId="46" fillId="8" borderId="0" xfId="0" applyNumberFormat="1" applyFont="1" applyFill="1" applyBorder="1" applyAlignment="1">
      <alignment horizontal="center"/>
    </xf>
    <xf numFmtId="17" fontId="20" fillId="8" borderId="0" xfId="0" applyNumberFormat="1" applyFont="1" applyFill="1" applyBorder="1" applyAlignment="1">
      <alignment horizontal="center"/>
    </xf>
    <xf numFmtId="17" fontId="8" fillId="8" borderId="0" xfId="0" applyNumberFormat="1" applyFont="1" applyFill="1" applyBorder="1" applyAlignment="1">
      <alignment horizontal="center"/>
    </xf>
    <xf numFmtId="0" fontId="44" fillId="8" borderId="0" xfId="0" applyNumberFormat="1" applyFont="1" applyFill="1" applyBorder="1" applyAlignment="1">
      <alignment horizontal="center"/>
    </xf>
    <xf numFmtId="0" fontId="31" fillId="8" borderId="0" xfId="0" applyNumberFormat="1" applyFont="1" applyFill="1" applyBorder="1" applyAlignment="1">
      <alignment horizontal="center"/>
    </xf>
    <xf numFmtId="0" fontId="6" fillId="8" borderId="0" xfId="0" applyNumberFormat="1" applyFont="1" applyFill="1" applyBorder="1" applyAlignment="1">
      <alignment horizontal="center"/>
    </xf>
    <xf numFmtId="171" fontId="25" fillId="8" borderId="0" xfId="0" applyNumberFormat="1" applyFont="1" applyFill="1" applyBorder="1"/>
    <xf numFmtId="171" fontId="0" fillId="8" borderId="0" xfId="0" applyNumberFormat="1" applyFont="1" applyFill="1" applyBorder="1"/>
    <xf numFmtId="171" fontId="46" fillId="8" borderId="0" xfId="0" applyNumberFormat="1" applyFont="1" applyFill="1" applyBorder="1"/>
    <xf numFmtId="171" fontId="25" fillId="8" borderId="2" xfId="0" applyNumberFormat="1" applyFont="1" applyFill="1" applyBorder="1"/>
    <xf numFmtId="171" fontId="0" fillId="8" borderId="2" xfId="0" applyNumberFormat="1" applyFont="1" applyFill="1" applyBorder="1"/>
    <xf numFmtId="171" fontId="46" fillId="8" borderId="2" xfId="0" applyNumberFormat="1" applyFont="1" applyFill="1" applyBorder="1"/>
    <xf numFmtId="171" fontId="26" fillId="8" borderId="7" xfId="0" applyNumberFormat="1" applyFont="1" applyFill="1" applyBorder="1" applyAlignment="1">
      <alignment horizontal="right"/>
    </xf>
    <xf numFmtId="171" fontId="7" fillId="8" borderId="7" xfId="0" applyNumberFormat="1" applyFont="1" applyFill="1" applyBorder="1" applyAlignment="1">
      <alignment horizontal="right"/>
    </xf>
    <xf numFmtId="171" fontId="26" fillId="8" borderId="0" xfId="0" applyNumberFormat="1" applyFont="1" applyFill="1" applyBorder="1" applyAlignment="1">
      <alignment horizontal="right"/>
    </xf>
    <xf numFmtId="171" fontId="7" fillId="8" borderId="0" xfId="0" applyNumberFormat="1" applyFont="1" applyFill="1" applyBorder="1" applyAlignment="1">
      <alignment horizontal="right"/>
    </xf>
    <xf numFmtId="171" fontId="25" fillId="8" borderId="0" xfId="0" applyNumberFormat="1" applyFont="1" applyFill="1" applyBorder="1" applyAlignment="1">
      <alignment horizontal="right"/>
    </xf>
    <xf numFmtId="170" fontId="0" fillId="8" borderId="0" xfId="0" applyNumberFormat="1" applyFont="1" applyFill="1" applyBorder="1"/>
    <xf numFmtId="170" fontId="25" fillId="8" borderId="0" xfId="0" applyNumberFormat="1" applyFont="1" applyFill="1" applyBorder="1"/>
    <xf numFmtId="170" fontId="0" fillId="8" borderId="2" xfId="0" applyNumberFormat="1" applyFont="1" applyFill="1" applyBorder="1"/>
    <xf numFmtId="170" fontId="25" fillId="8" borderId="2" xfId="0" applyNumberFormat="1" applyFont="1" applyFill="1" applyBorder="1"/>
    <xf numFmtId="170" fontId="7" fillId="8" borderId="7" xfId="0" applyNumberFormat="1" applyFont="1" applyFill="1" applyBorder="1"/>
    <xf numFmtId="170" fontId="26" fillId="8" borderId="7" xfId="0" applyNumberFormat="1" applyFont="1" applyFill="1" applyBorder="1"/>
    <xf numFmtId="170" fontId="7" fillId="8" borderId="7" xfId="0" applyNumberFormat="1" applyFont="1" applyFill="1" applyBorder="1" applyAlignment="1">
      <alignment horizontal="right"/>
    </xf>
    <xf numFmtId="170" fontId="26" fillId="8" borderId="7" xfId="0" applyNumberFormat="1" applyFont="1" applyFill="1" applyBorder="1" applyAlignment="1">
      <alignment horizontal="right"/>
    </xf>
    <xf numFmtId="168" fontId="23" fillId="8" borderId="0" xfId="0" applyNumberFormat="1" applyFont="1" applyFill="1" applyBorder="1"/>
    <xf numFmtId="168" fontId="23" fillId="8" borderId="0" xfId="0" applyNumberFormat="1" applyFont="1" applyFill="1" applyBorder="1" applyAlignment="1">
      <alignment horizontal="center"/>
    </xf>
    <xf numFmtId="168" fontId="23" fillId="8" borderId="0" xfId="0" applyNumberFormat="1" applyFont="1" applyFill="1" applyBorder="1" applyAlignment="1">
      <alignment horizontal="right"/>
    </xf>
    <xf numFmtId="170" fontId="23" fillId="8" borderId="0" xfId="0" applyNumberFormat="1" applyFont="1" applyFill="1" applyBorder="1"/>
    <xf numFmtId="170" fontId="23" fillId="8" borderId="0" xfId="0" applyNumberFormat="1" applyFont="1" applyFill="1" applyBorder="1" applyAlignment="1">
      <alignment horizontal="center"/>
    </xf>
    <xf numFmtId="170" fontId="25" fillId="8" borderId="0" xfId="0" applyNumberFormat="1" applyFont="1" applyFill="1" applyBorder="1" applyAlignment="1">
      <alignment horizontal="left" indent="1"/>
    </xf>
    <xf numFmtId="170" fontId="25" fillId="8" borderId="2" xfId="0" applyNumberFormat="1" applyFont="1" applyFill="1" applyBorder="1" applyAlignment="1">
      <alignment horizontal="left" indent="1"/>
    </xf>
    <xf numFmtId="170" fontId="7" fillId="8" borderId="0" xfId="0" applyNumberFormat="1" applyFont="1" applyFill="1" applyBorder="1"/>
    <xf numFmtId="170" fontId="26" fillId="8" borderId="0" xfId="0" applyNumberFormat="1" applyFont="1" applyFill="1" applyBorder="1"/>
    <xf numFmtId="170" fontId="7" fillId="8" borderId="0" xfId="0" applyNumberFormat="1" applyFont="1" applyFill="1" applyBorder="1" applyAlignment="1">
      <alignment horizontal="right"/>
    </xf>
    <xf numFmtId="168" fontId="25" fillId="8" borderId="0" xfId="0" applyNumberFormat="1" applyFont="1" applyFill="1" applyBorder="1"/>
    <xf numFmtId="171" fontId="7" fillId="8" borderId="7" xfId="0" applyNumberFormat="1" applyFont="1" applyFill="1" applyBorder="1"/>
    <xf numFmtId="171" fontId="26" fillId="8" borderId="7" xfId="0" applyNumberFormat="1" applyFont="1" applyFill="1" applyBorder="1"/>
    <xf numFmtId="171" fontId="25" fillId="8" borderId="0" xfId="0" applyNumberFormat="1" applyFont="1" applyFill="1" applyBorder="1" applyAlignment="1">
      <alignment horizontal="left" indent="1"/>
    </xf>
    <xf numFmtId="171" fontId="46" fillId="8" borderId="0" xfId="0" applyNumberFormat="1" applyFont="1" applyFill="1" applyBorder="1" applyAlignment="1">
      <alignment horizontal="left" indent="1"/>
    </xf>
    <xf numFmtId="171" fontId="25" fillId="8" borderId="2" xfId="0" applyNumberFormat="1" applyFont="1" applyFill="1" applyBorder="1" applyAlignment="1">
      <alignment horizontal="left" indent="1"/>
    </xf>
    <xf numFmtId="171" fontId="46" fillId="8" borderId="2" xfId="0" applyNumberFormat="1" applyFont="1" applyFill="1" applyBorder="1" applyAlignment="1">
      <alignment horizontal="left" indent="1"/>
    </xf>
    <xf numFmtId="171" fontId="26" fillId="8" borderId="0" xfId="0" applyNumberFormat="1" applyFont="1" applyFill="1" applyBorder="1"/>
    <xf numFmtId="171" fontId="0" fillId="8" borderId="0" xfId="0" applyNumberFormat="1" applyFont="1" applyFill="1" applyBorder="1" applyAlignment="1">
      <alignment horizontal="right"/>
    </xf>
    <xf numFmtId="171" fontId="0" fillId="8" borderId="2" xfId="0" applyNumberFormat="1" applyFont="1" applyFill="1" applyBorder="1" applyAlignment="1">
      <alignment horizontal="right"/>
    </xf>
    <xf numFmtId="171" fontId="7" fillId="8" borderId="0" xfId="0" applyNumberFormat="1" applyFont="1" applyFill="1" applyBorder="1"/>
    <xf numFmtId="171" fontId="23" fillId="8" borderId="0" xfId="0" applyNumberFormat="1" applyFont="1" applyFill="1" applyBorder="1"/>
    <xf numFmtId="171" fontId="23" fillId="8" borderId="0" xfId="0" applyNumberFormat="1" applyFont="1" applyFill="1" applyBorder="1" applyAlignment="1">
      <alignment horizontal="right"/>
    </xf>
    <xf numFmtId="171" fontId="19" fillId="8" borderId="0" xfId="0" applyNumberFormat="1" applyFont="1" applyFill="1" applyBorder="1"/>
    <xf numFmtId="171" fontId="45" fillId="8" borderId="0" xfId="0" applyNumberFormat="1" applyFont="1" applyFill="1" applyBorder="1"/>
    <xf numFmtId="171" fontId="19" fillId="8" borderId="0" xfId="0" applyNumberFormat="1" applyFont="1" applyFill="1" applyBorder="1" applyAlignment="1">
      <alignment horizontal="right"/>
    </xf>
    <xf numFmtId="171" fontId="45" fillId="8" borderId="0" xfId="0" applyNumberFormat="1" applyFont="1" applyFill="1" applyBorder="1" applyAlignment="1">
      <alignment horizontal="right"/>
    </xf>
    <xf numFmtId="182" fontId="26" fillId="8" borderId="0" xfId="0" applyNumberFormat="1" applyFont="1" applyFill="1" applyBorder="1"/>
    <xf numFmtId="182" fontId="7" fillId="8" borderId="0" xfId="0" applyNumberFormat="1" applyFont="1" applyFill="1" applyBorder="1"/>
    <xf numFmtId="182" fontId="44" fillId="8" borderId="0" xfId="0" applyNumberFormat="1" applyFont="1" applyFill="1" applyBorder="1"/>
    <xf numFmtId="170" fontId="44" fillId="8" borderId="0" xfId="0" applyNumberFormat="1" applyFont="1" applyFill="1" applyBorder="1"/>
    <xf numFmtId="170" fontId="46" fillId="8" borderId="0" xfId="0" applyNumberFormat="1" applyFont="1" applyFill="1" applyBorder="1"/>
    <xf numFmtId="170" fontId="46" fillId="8" borderId="2" xfId="0" applyNumberFormat="1" applyFont="1" applyFill="1" applyBorder="1"/>
    <xf numFmtId="170" fontId="25" fillId="8" borderId="0" xfId="0" applyNumberFormat="1" applyFont="1" applyFill="1" applyBorder="1" applyAlignment="1">
      <alignment horizontal="left" indent="2"/>
    </xf>
    <xf numFmtId="170" fontId="46" fillId="8" borderId="0" xfId="0" applyNumberFormat="1" applyFont="1" applyFill="1" applyBorder="1" applyAlignment="1">
      <alignment horizontal="left" indent="2"/>
    </xf>
    <xf numFmtId="170" fontId="0" fillId="8" borderId="0" xfId="0" applyNumberFormat="1" applyFont="1" applyFill="1" applyBorder="1" applyAlignment="1">
      <alignment horizontal="left" indent="2"/>
    </xf>
    <xf numFmtId="170" fontId="25" fillId="8" borderId="2" xfId="0" applyNumberFormat="1" applyFont="1" applyFill="1" applyBorder="1" applyAlignment="1">
      <alignment horizontal="left" indent="2"/>
    </xf>
    <xf numFmtId="170" fontId="46" fillId="8" borderId="2" xfId="0" applyNumberFormat="1" applyFont="1" applyFill="1" applyBorder="1" applyAlignment="1">
      <alignment horizontal="left" indent="2"/>
    </xf>
    <xf numFmtId="170" fontId="0" fillId="8" borderId="2" xfId="0" applyNumberFormat="1" applyFont="1" applyFill="1" applyBorder="1" applyAlignment="1">
      <alignment horizontal="left" indent="2"/>
    </xf>
    <xf numFmtId="170" fontId="0" fillId="8" borderId="0" xfId="0" applyNumberFormat="1" applyFont="1" applyFill="1" applyBorder="1" applyAlignment="1">
      <alignment horizontal="left" indent="1"/>
    </xf>
    <xf numFmtId="170" fontId="46" fillId="8" borderId="2" xfId="0" applyNumberFormat="1" applyFont="1" applyFill="1" applyBorder="1" applyAlignment="1">
      <alignment horizontal="left" indent="1"/>
    </xf>
    <xf numFmtId="170" fontId="0" fillId="8" borderId="2" xfId="0" applyNumberFormat="1" applyFont="1" applyFill="1" applyBorder="1" applyAlignment="1">
      <alignment horizontal="left" indent="1"/>
    </xf>
    <xf numFmtId="168" fontId="26" fillId="8" borderId="0" xfId="0" applyNumberFormat="1" applyFont="1" applyFill="1" applyBorder="1"/>
    <xf numFmtId="170" fontId="7" fillId="8" borderId="9" xfId="0" applyNumberFormat="1" applyFont="1" applyFill="1" applyBorder="1"/>
    <xf numFmtId="170" fontId="26" fillId="8" borderId="9" xfId="0" applyNumberFormat="1" applyFont="1" applyFill="1" applyBorder="1"/>
    <xf numFmtId="170" fontId="25" fillId="8" borderId="7" xfId="0" applyNumberFormat="1" applyFont="1" applyFill="1" applyBorder="1"/>
    <xf numFmtId="166" fontId="44" fillId="8" borderId="0" xfId="0" applyNumberFormat="1" applyFont="1" applyFill="1" applyBorder="1"/>
    <xf numFmtId="166" fontId="26" fillId="8" borderId="0" xfId="0" applyNumberFormat="1" applyFont="1" applyFill="1" applyBorder="1"/>
    <xf numFmtId="166" fontId="46" fillId="8" borderId="0" xfId="0" applyNumberFormat="1" applyFont="1" applyFill="1" applyBorder="1"/>
    <xf numFmtId="166" fontId="25" fillId="8" borderId="0" xfId="0" applyNumberFormat="1" applyFont="1" applyFill="1" applyBorder="1"/>
    <xf numFmtId="166" fontId="46" fillId="8" borderId="2" xfId="0" applyNumberFormat="1" applyFont="1" applyFill="1" applyBorder="1"/>
    <xf numFmtId="166" fontId="25" fillId="8" borderId="2" xfId="0" applyNumberFormat="1" applyFont="1" applyFill="1" applyBorder="1"/>
    <xf numFmtId="166" fontId="7" fillId="8" borderId="7" xfId="0" applyNumberFormat="1" applyFont="1" applyFill="1" applyBorder="1"/>
    <xf numFmtId="166" fontId="26" fillId="8" borderId="7" xfId="0" applyNumberFormat="1" applyFont="1" applyFill="1" applyBorder="1"/>
    <xf numFmtId="170" fontId="0" fillId="8" borderId="7" xfId="0" applyNumberFormat="1" applyFont="1" applyFill="1" applyBorder="1"/>
    <xf numFmtId="170" fontId="0" fillId="8" borderId="0" xfId="0" applyNumberFormat="1" applyFont="1" applyFill="1" applyBorder="1" applyAlignment="1">
      <alignment horizontal="center"/>
    </xf>
    <xf numFmtId="170" fontId="25" fillId="8" borderId="0" xfId="0" applyNumberFormat="1" applyFont="1" applyFill="1" applyBorder="1" applyAlignment="1">
      <alignment horizontal="center"/>
    </xf>
    <xf numFmtId="168" fontId="25" fillId="8" borderId="0" xfId="0" applyNumberFormat="1" applyFont="1" applyFill="1" applyBorder="1" applyAlignment="1">
      <alignment horizontal="center"/>
    </xf>
    <xf numFmtId="170" fontId="25" fillId="8" borderId="9" xfId="0" applyNumberFormat="1" applyFont="1" applyFill="1" applyBorder="1"/>
    <xf numFmtId="168" fontId="23" fillId="8" borderId="7" xfId="0" applyNumberFormat="1" applyFont="1" applyFill="1" applyBorder="1"/>
    <xf numFmtId="171" fontId="44" fillId="8" borderId="0" xfId="0" applyNumberFormat="1" applyFont="1" applyFill="1" applyBorder="1"/>
    <xf numFmtId="173" fontId="7" fillId="8" borderId="0" xfId="0" applyNumberFormat="1" applyFont="1" applyFill="1" applyBorder="1"/>
    <xf numFmtId="173" fontId="26" fillId="8" borderId="0" xfId="0" applyNumberFormat="1" applyFont="1" applyFill="1" applyBorder="1"/>
    <xf numFmtId="173" fontId="23" fillId="8" borderId="0" xfId="0" applyNumberFormat="1" applyFont="1" applyFill="1" applyBorder="1"/>
    <xf numFmtId="173" fontId="23" fillId="8" borderId="0" xfId="0" applyNumberFormat="1" applyFont="1" applyFill="1" applyBorder="1" applyAlignment="1">
      <alignment horizontal="right"/>
    </xf>
    <xf numFmtId="194" fontId="25" fillId="8" borderId="0" xfId="0" applyNumberFormat="1" applyFont="1" applyFill="1" applyBorder="1"/>
    <xf numFmtId="168" fontId="46" fillId="8" borderId="0" xfId="0" applyNumberFormat="1" applyFont="1" applyFill="1" applyBorder="1"/>
    <xf numFmtId="168" fontId="0" fillId="8" borderId="0" xfId="0" applyNumberFormat="1" applyFont="1" applyFill="1" applyBorder="1"/>
    <xf numFmtId="171" fontId="23" fillId="8" borderId="2" xfId="0" applyNumberFormat="1" applyFont="1" applyFill="1" applyBorder="1"/>
    <xf numFmtId="195" fontId="46" fillId="8" borderId="0" xfId="0" applyNumberFormat="1" applyFont="1" applyFill="1" applyBorder="1"/>
    <xf numFmtId="195" fontId="25" fillId="8" borderId="0" xfId="0" applyNumberFormat="1" applyFont="1" applyFill="1" applyBorder="1"/>
    <xf numFmtId="197" fontId="23" fillId="8" borderId="0" xfId="0" applyNumberFormat="1" applyFont="1" applyFill="1" applyBorder="1"/>
    <xf numFmtId="197" fontId="45" fillId="8" borderId="0" xfId="0" applyNumberFormat="1" applyFont="1" applyFill="1" applyBorder="1"/>
    <xf numFmtId="166" fontId="7" fillId="8" borderId="0" xfId="0" applyNumberFormat="1" applyFont="1" applyFill="1" applyBorder="1"/>
    <xf numFmtId="166" fontId="7" fillId="8" borderId="0" xfId="16" applyNumberFormat="1" applyFont="1" applyFill="1" applyBorder="1">
      <alignment/>
      <protection/>
    </xf>
    <xf numFmtId="166" fontId="26" fillId="8" borderId="0" xfId="16" applyNumberFormat="1" applyFont="1" applyFill="1" applyBorder="1">
      <alignment/>
      <protection/>
    </xf>
    <xf numFmtId="166" fontId="44" fillId="8" borderId="0" xfId="16" applyNumberFormat="1" applyFont="1" applyFill="1" applyBorder="1">
      <alignment/>
      <protection/>
    </xf>
    <xf numFmtId="173" fontId="26" fillId="8" borderId="0" xfId="16" applyNumberFormat="1" applyFont="1" applyFill="1" applyBorder="1" applyAlignment="1">
      <alignment horizontal="right" indent="1"/>
      <protection/>
    </xf>
    <xf numFmtId="173" fontId="26" fillId="8" borderId="0" xfId="16" applyNumberFormat="1" applyFont="1" applyFill="1" applyBorder="1">
      <alignment/>
      <protection/>
    </xf>
    <xf numFmtId="171" fontId="19" fillId="8" borderId="0" xfId="16" applyNumberFormat="1" applyFont="1" applyFill="1" applyBorder="1" applyAlignment="1">
      <alignment horizontal="right" indent="1"/>
      <protection/>
    </xf>
    <xf numFmtId="171" fontId="19" fillId="8" borderId="0" xfId="16" applyNumberFormat="1" applyFont="1" applyFill="1" applyBorder="1">
      <alignment/>
      <protection/>
    </xf>
    <xf numFmtId="171" fontId="23" fillId="8" borderId="0" xfId="16" applyNumberFormat="1" applyFont="1" applyFill="1" applyBorder="1">
      <alignment/>
      <protection/>
    </xf>
    <xf numFmtId="170" fontId="25" fillId="8" borderId="0" xfId="0" applyNumberFormat="1" applyFont="1" applyFill="1" applyBorder="1" applyAlignment="1">
      <alignment horizontal="right"/>
    </xf>
    <xf numFmtId="170" fontId="25" fillId="8" borderId="2" xfId="0" applyNumberFormat="1" applyFont="1" applyFill="1" applyBorder="1" applyAlignment="1">
      <alignment horizontal="right"/>
    </xf>
    <xf numFmtId="168" fontId="25" fillId="8" borderId="0" xfId="0" applyNumberFormat="1" applyFont="1" applyFill="1" applyBorder="1" applyAlignment="1">
      <alignment horizontal="right"/>
    </xf>
    <xf numFmtId="173" fontId="26" fillId="8" borderId="0" xfId="0" applyNumberFormat="1" applyFont="1" applyFill="1" applyBorder="1" applyAlignment="1">
      <alignment horizontal="right"/>
    </xf>
    <xf numFmtId="182" fontId="23" fillId="8" borderId="0" xfId="0" applyNumberFormat="1" applyFont="1" applyFill="1" applyBorder="1"/>
    <xf numFmtId="182" fontId="23" fillId="8" borderId="0" xfId="0" applyNumberFormat="1" applyFont="1" applyFill="1" applyBorder="1" applyAlignment="1">
      <alignment horizontal="right"/>
    </xf>
    <xf numFmtId="0" fontId="25" fillId="8" borderId="0" xfId="0" applyNumberFormat="1" applyFont="1" applyFill="1" applyBorder="1"/>
    <xf numFmtId="166" fontId="7" fillId="8" borderId="0" xfId="0" applyNumberFormat="1" applyFont="1" applyFill="1" applyBorder="1" applyAlignment="1">
      <alignment horizontal="right"/>
    </xf>
    <xf numFmtId="174" fontId="25" fillId="8" borderId="0" xfId="0" applyNumberFormat="1" applyFont="1" applyFill="1" applyBorder="1" applyAlignment="1">
      <alignment horizontal="right"/>
    </xf>
    <xf numFmtId="174" fontId="0" fillId="8" borderId="0" xfId="0" applyNumberFormat="1" applyFont="1" applyFill="1" applyBorder="1" applyAlignment="1">
      <alignment horizontal="right"/>
    </xf>
    <xf numFmtId="188" fontId="0" fillId="8" borderId="0" xfId="0" applyNumberFormat="1" applyFont="1" applyFill="1" applyBorder="1" applyAlignment="1">
      <alignment horizontal="right"/>
    </xf>
    <xf numFmtId="188" fontId="0" fillId="8" borderId="0" xfId="0" applyNumberFormat="1" applyFont="1" applyFill="1" applyBorder="1"/>
    <xf numFmtId="188" fontId="25" fillId="8" borderId="0" xfId="0" applyNumberFormat="1" applyFont="1" applyFill="1" applyBorder="1"/>
    <xf numFmtId="193" fontId="0" fillId="8" borderId="0" xfId="0" applyNumberFormat="1" applyFont="1" applyFill="1" applyBorder="1" applyAlignment="1">
      <alignment horizontal="right"/>
    </xf>
    <xf numFmtId="193" fontId="0" fillId="8" borderId="0" xfId="0" applyNumberFormat="1" applyFont="1" applyFill="1" applyBorder="1"/>
    <xf numFmtId="193" fontId="25" fillId="8" borderId="0" xfId="0" applyNumberFormat="1" applyFont="1" applyFill="1" applyBorder="1"/>
    <xf numFmtId="189" fontId="0" fillId="8" borderId="0" xfId="0" applyNumberFormat="1" applyFont="1" applyFill="1" applyBorder="1" applyAlignment="1">
      <alignment horizontal="right"/>
    </xf>
    <xf numFmtId="189" fontId="0" fillId="8" borderId="0" xfId="0" applyNumberFormat="1" applyFont="1" applyFill="1" applyBorder="1"/>
    <xf numFmtId="189" fontId="25" fillId="8" borderId="0" xfId="0" applyNumberFormat="1" applyFont="1" applyFill="1" applyBorder="1"/>
    <xf numFmtId="17" fontId="33" fillId="8" borderId="0" xfId="33" applyNumberFormat="1" applyFont="1" applyFill="1" applyBorder="1" applyAlignment="1">
      <alignment horizontal="center"/>
      <protection/>
    </xf>
    <xf numFmtId="17" fontId="34" fillId="8" borderId="0" xfId="33" applyNumberFormat="1" applyFont="1" applyFill="1" applyBorder="1" applyAlignment="1">
      <alignment horizontal="center"/>
      <protection/>
    </xf>
    <xf numFmtId="168" fontId="26" fillId="8" borderId="0" xfId="33" applyNumberFormat="1" applyFont="1" applyFill="1" applyBorder="1" applyAlignment="1">
      <alignment horizontal="center"/>
      <protection/>
    </xf>
    <xf numFmtId="168" fontId="31" fillId="8" borderId="0" xfId="33" applyNumberFormat="1" applyFont="1" applyFill="1" applyBorder="1" applyAlignment="1">
      <alignment horizontal="center"/>
      <protection/>
    </xf>
    <xf numFmtId="166" fontId="26" fillId="8" borderId="0" xfId="33" applyNumberFormat="1" applyFont="1" applyFill="1" applyBorder="1" applyAlignment="1">
      <alignment horizontal="right"/>
      <protection/>
    </xf>
    <xf numFmtId="166" fontId="26" fillId="8" borderId="0" xfId="33" applyNumberFormat="1" applyFont="1" applyFill="1" applyBorder="1">
      <alignment/>
      <protection/>
    </xf>
    <xf numFmtId="168" fontId="25" fillId="8" borderId="2" xfId="33" applyNumberFormat="1" applyFont="1" applyFill="1" applyBorder="1" applyAlignment="1">
      <alignment horizontal="right"/>
      <protection/>
    </xf>
    <xf numFmtId="168" fontId="25" fillId="8" borderId="2" xfId="33" applyNumberFormat="1" applyFont="1" applyFill="1" applyBorder="1">
      <alignment/>
      <protection/>
    </xf>
    <xf numFmtId="170" fontId="26" fillId="8" borderId="7" xfId="33" applyNumberFormat="1" applyFont="1" applyFill="1" applyBorder="1">
      <alignment/>
      <protection/>
    </xf>
    <xf numFmtId="170" fontId="26" fillId="8" borderId="0" xfId="33" applyNumberFormat="1" applyFont="1" applyFill="1" applyBorder="1">
      <alignment/>
      <protection/>
    </xf>
    <xf numFmtId="170" fontId="25" fillId="8" borderId="0" xfId="33" applyNumberFormat="1" applyFont="1" applyFill="1" applyBorder="1">
      <alignment/>
      <protection/>
    </xf>
    <xf numFmtId="170" fontId="25" fillId="8" borderId="2" xfId="33" applyNumberFormat="1" applyFont="1" applyFill="1" applyBorder="1">
      <alignment/>
      <protection/>
    </xf>
    <xf numFmtId="171" fontId="25" fillId="8" borderId="0" xfId="33" applyNumberFormat="1" applyFont="1" applyFill="1" applyBorder="1">
      <alignment/>
      <protection/>
    </xf>
    <xf numFmtId="171" fontId="25" fillId="8" borderId="2" xfId="33" applyNumberFormat="1" applyFont="1" applyFill="1" applyBorder="1">
      <alignment/>
      <protection/>
    </xf>
    <xf numFmtId="171" fontId="26" fillId="8" borderId="7" xfId="33" applyNumberFormat="1" applyFont="1" applyFill="1" applyBorder="1">
      <alignment/>
      <protection/>
    </xf>
    <xf numFmtId="171" fontId="26" fillId="8" borderId="0" xfId="33" applyNumberFormat="1" applyFont="1" applyFill="1" applyBorder="1">
      <alignment/>
      <protection/>
    </xf>
    <xf numFmtId="173" fontId="26" fillId="8" borderId="0" xfId="33" applyNumberFormat="1" applyFont="1" applyFill="1" applyBorder="1">
      <alignment/>
      <protection/>
    </xf>
    <xf numFmtId="168" fontId="25" fillId="8" borderId="0" xfId="33" applyNumberFormat="1" applyFont="1" applyFill="1" applyBorder="1">
      <alignment/>
      <protection/>
    </xf>
    <xf numFmtId="168" fontId="26" fillId="8" borderId="0" xfId="33" applyNumberFormat="1" applyFont="1" applyFill="1" applyBorder="1">
      <alignment/>
      <protection/>
    </xf>
    <xf numFmtId="171" fontId="26" fillId="8" borderId="0" xfId="33" applyNumberFormat="1" applyFont="1" applyFill="1" applyBorder="1" applyAlignment="1">
      <alignment horizontal="center"/>
      <protection/>
    </xf>
    <xf numFmtId="166" fontId="26" fillId="8" borderId="0" xfId="33" applyNumberFormat="1" applyFont="1" applyFill="1" applyBorder="1" applyAlignment="1">
      <alignment horizontal="center"/>
      <protection/>
    </xf>
    <xf numFmtId="171" fontId="25" fillId="8" borderId="0" xfId="33" applyNumberFormat="1" applyFont="1" applyFill="1" applyBorder="1" applyAlignment="1">
      <alignment horizontal="center"/>
      <protection/>
    </xf>
    <xf numFmtId="182" fontId="26" fillId="8" borderId="0" xfId="33" applyNumberFormat="1" applyFont="1" applyFill="1" applyBorder="1" applyAlignment="1">
      <alignment horizontal="right"/>
      <protection/>
    </xf>
    <xf numFmtId="170" fontId="25" fillId="8" borderId="0" xfId="33" applyNumberFormat="1" applyFont="1" applyFill="1" applyBorder="1" applyAlignment="1">
      <alignment horizontal="right"/>
      <protection/>
    </xf>
    <xf numFmtId="170" fontId="25" fillId="8" borderId="2" xfId="33" applyNumberFormat="1" applyFont="1" applyFill="1" applyBorder="1" applyAlignment="1">
      <alignment horizontal="right"/>
      <protection/>
    </xf>
    <xf numFmtId="170" fontId="26" fillId="8" borderId="7" xfId="33" applyNumberFormat="1" applyFont="1" applyFill="1" applyBorder="1" applyAlignment="1">
      <alignment horizontal="right"/>
      <protection/>
    </xf>
    <xf numFmtId="171" fontId="25" fillId="8" borderId="0" xfId="33" applyNumberFormat="1" applyFont="1" applyFill="1" applyBorder="1" applyAlignment="1">
      <alignment horizontal="right"/>
      <protection/>
    </xf>
    <xf numFmtId="174" fontId="25" fillId="8" borderId="0" xfId="33" applyNumberFormat="1" applyFont="1" applyFill="1" applyBorder="1" applyAlignment="1">
      <alignment horizontal="right"/>
      <protection/>
    </xf>
  </cellXfs>
  <cellStyles count="24">
    <cellStyle name="Normal" xfId="0" builtinId="0"/>
    <cellStyle name="Percent" xfId="15"/>
    <cellStyle name="Currency" xfId="16"/>
    <cellStyle name="Currency [0]" xfId="17"/>
    <cellStyle name="Comma" xfId="18"/>
    <cellStyle name="Comma [0]" xfId="19"/>
    <cellStyle name="Currency 2" xfId="20"/>
    <cellStyle name="Currency 2 2" xfId="21"/>
    <cellStyle name="Currency 2 3" xfId="22"/>
    <cellStyle name="Currency 2 4" xfId="23"/>
    <cellStyle name="Good" xfId="24"/>
    <cellStyle name="Hyperlink" xfId="25"/>
    <cellStyle name="Hyperlink 2" xfId="26"/>
    <cellStyle name="Normal 2" xfId="27"/>
    <cellStyle name="Normal 2 2" xfId="28"/>
    <cellStyle name="Normal 2 3" xfId="29"/>
    <cellStyle name="Normal 3" xfId="30"/>
    <cellStyle name="Normal 3 2" xfId="31"/>
    <cellStyle name="Normal 3 3" xfId="32"/>
    <cellStyle name="Normal 4" xfId="33"/>
    <cellStyle name="Normal 5" xfId="34"/>
    <cellStyle name="Percent 2" xfId="35"/>
    <cellStyle name="Percent 2 2" xfId="36"/>
    <cellStyle name="Percent 2 3" xfId="37"/>
  </cellStyles>
  <dxfs count="11">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ont>
        <color rgb="FFF2F2F2"/>
      </font>
      <fill>
        <patternFill>
          <bgColor rgb="FFF2F2F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theme" Target="theme/theme1.xml" /><Relationship Id="rId7" Type="http://schemas.openxmlformats.org/officeDocument/2006/relationships/sharedStrings" Target="sharedStrings.xml" /><Relationship Id="rId4" Type="http://schemas.openxmlformats.org/officeDocument/2006/relationships/worksheet" Target="worksheets/sheet2.xml" /><Relationship Id="rId2" Type="http://schemas.openxmlformats.org/officeDocument/2006/relationships/styles" Target="styles.xml" /><Relationship Id="rId9" Type="http://schemas.openxmlformats.org/officeDocument/2006/relationships/calcChain" Target="calcChain.xml" /><Relationship Id="rId8" Type="http://schemas.openxmlformats.org/officeDocument/2006/relationships/customXml" Target="../customXml/item1.xml" /><Relationship Id="rId3" Type="http://schemas.openxmlformats.org/officeDocument/2006/relationships/worksheet" Target="worksheets/sheet1.xml" /><Relationship Id="rId6" Type="http://schemas.openxmlformats.org/officeDocument/2006/relationships/worksheet" Target="worksheets/sheet4.xml" /><Relationship Id="rId5" Type="http://schemas.openxmlformats.org/officeDocument/2006/relationships/worksheet" Target="worksheets/sheet3.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s>
</file>

<file path=xl/drawings/_rels/drawing2.xml.rels><?xml version="1.0" encoding="UTF-8" standalone="yes"?><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2</xdr:col>
      <xdr:colOff>0</xdr:colOff>
      <xdr:row>5</xdr:row>
      <xdr:rowOff>0</xdr:rowOff>
    </xdr:from>
    <xdr:to>
      <xdr:col>3</xdr:col>
      <xdr:colOff>891540</xdr:colOff>
      <xdr:row>7</xdr:row>
      <xdr:rowOff>76200</xdr:rowOff>
    </xdr:to>
    <xdr:pic>
      <xdr:nvPicPr>
        <xdr:cNvPr id="8" name="TegusBrandLogo">
          <a:extLst>
            <a:ext uri="{FF2B5EF4-FFF2-40B4-BE49-F238E27FC236}">
              <a16:creationId xmlns:a16="http://schemas.microsoft.com/office/drawing/2014/main" id="{18547e36-0082-43c9-b3c1-38e38b35cc13}"/>
            </a:ext>
          </a:extLst>
        </xdr:cNvPr>
        <xdr:cNvPicPr>
          <a:picLocks noChangeAspect="1"/>
        </xdr:cNvPicPr>
      </xdr:nvPicPr>
      <xdr:blipFill>
        <a:blip r:embed="rId1"/>
        <a:stretch>
          <a:fillRect/>
        </a:stretch>
      </xdr:blipFill>
      <xdr:spPr>
        <a:xfrm>
          <a:off x="904875" y="952500"/>
          <a:ext cx="1581150" cy="552450"/>
        </a:xfrm>
        <a:prstGeom prst="rect"/>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2</xdr:col>
      <xdr:colOff>0</xdr:colOff>
      <xdr:row>5</xdr:row>
      <xdr:rowOff>0</xdr:rowOff>
    </xdr:from>
    <xdr:to>
      <xdr:col>3</xdr:col>
      <xdr:colOff>419100</xdr:colOff>
      <xdr:row>7</xdr:row>
      <xdr:rowOff>76200</xdr:rowOff>
    </xdr:to>
    <xdr:pic>
      <xdr:nvPicPr>
        <xdr:cNvPr id="9" name="TegusBrandLogo">
          <a:extLst>
            <a:ext uri="{FF2B5EF4-FFF2-40B4-BE49-F238E27FC236}">
              <a16:creationId xmlns:a16="http://schemas.microsoft.com/office/drawing/2014/main" id="{347a6157-2481-4edd-be2b-6424eecc111c}"/>
            </a:ext>
          </a:extLst>
        </xdr:cNvPr>
        <xdr:cNvPicPr>
          <a:picLocks noChangeAspect="1"/>
        </xdr:cNvPicPr>
      </xdr:nvPicPr>
      <xdr:blipFill>
        <a:blip r:embed="rId1"/>
        <a:stretch>
          <a:fillRect/>
        </a:stretch>
      </xdr:blipFill>
      <xdr:spPr>
        <a:xfrm>
          <a:off x="952500" y="952500"/>
          <a:ext cx="1466850" cy="504825"/>
        </a:xfrm>
        <a:prstGeom prst="rec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hyperlink" Target="mailto:support@canalyst.com?subject=Canalyst%20Support:%20The%20Travelers%20Companies,%20Inc.%20TRV%20US&amp;body=Model%20Version:%20FY2018.23" TargetMode="External" /><Relationship Id="rId2" Type="http://schemas.openxmlformats.org/officeDocument/2006/relationships/hyperlink" Target="mailto:support@canalyst.com?subject=Canalyst%20Support:%20The%20Travelers%20Companies,%20Inc.%20TRV%20US&amp;body=Model%20Version:%20Q1-2019.20" TargetMode="External" /><Relationship Id="rId4" Type="http://schemas.openxmlformats.org/officeDocument/2006/relationships/drawing" Target="../drawings/drawing1.xml" /><Relationship Id="rId3" Type="http://schemas.openxmlformats.org/officeDocument/2006/relationships/hyperlink" Target="https://app.tegus.co/app/account/excel-add-in" TargetMode="External" /></Relationships>
</file>

<file path=xl/worksheets/_rels/sheet2.xml.rels><?xml version="1.0" encoding="UTF-8" standalone="yes"?><Relationships xmlns="http://schemas.openxmlformats.org/package/2006/relationships"><Relationship Id="rId1" Type="http://schemas.openxmlformats.org/officeDocument/2006/relationships/hyperlink" Target="http://investor.travelers.com/" TargetMode="External" /><Relationship Id="rId2" Type="http://schemas.openxmlformats.org/officeDocument/2006/relationships/comments" Target="../comments2.xml" /><Relationship Id="rId4" Type="http://schemas.openxmlformats.org/officeDocument/2006/relationships/printerSettings" Target="../printerSettings/printerSettings1.bin" /><Relationship Id="rId3" Type="http://schemas.openxmlformats.org/officeDocument/2006/relationships/vmlDrawing" Target="../drawings/vmlDrawing1.vml" /></Relationships>
</file>

<file path=xl/worksheets/_rels/sheet4.xml.rels><?xml version="1.0" encoding="UTF-8" standalone="yes"?><Relationships xmlns="http://schemas.openxmlformats.org/package/2006/relationships"><Relationship Id="rId18" Type="http://schemas.openxmlformats.org/officeDocument/2006/relationships/hyperlink" Target="https://investor.travelers.com/newsroom/press-releases/news-details/2022/Travelers-Reports-Excellent-Fourth-Quarter-and-Full-Year-Results-Including-Strong-Earnings-and-Premium-Growth/default.aspx" TargetMode="External" /><Relationship Id="rId26" Type="http://schemas.openxmlformats.org/officeDocument/2006/relationships/hyperlink" Target="https://s26.q4cdn.com/410417801/files/doc_financials/2023/q2/2Q23-Press-Release-FINAL.pdf" TargetMode="External" /><Relationship Id="rId30" Type="http://schemas.openxmlformats.org/officeDocument/2006/relationships/hyperlink" Target="https://investor.travelers.com/newsroom/press-releases/news-details/2024/Travelers-Reports-Excellent-First-Quarter-Results/default.aspx" TargetMode="External" /><Relationship Id="rId9" Type="http://schemas.openxmlformats.org/officeDocument/2006/relationships/hyperlink" Target="http://investor.travelers.com/Cache/1500126678.PDF?O=PDF&amp;T=&amp;Y=&amp;D=&amp;FID=1500126678&amp;iid=4055530" TargetMode="External" /><Relationship Id="rId28" Type="http://schemas.openxmlformats.org/officeDocument/2006/relationships/hyperlink" Target="https://investor.travelers.com/newsroom/press-releases/news-details/2024/Travelers-Reports-Excellent-Fourth-Quarter-2023-Results/default.aspx" TargetMode="External" /><Relationship Id="rId4" Type="http://schemas.openxmlformats.org/officeDocument/2006/relationships/hyperlink" Target="http://investor.travelers.com/Cache/1500111887.PDF?O=PDF&amp;T=&amp;Y=&amp;D=&amp;FID=1500111887&amp;iid=4055530" TargetMode="External" /><Relationship Id="rId20" Type="http://schemas.openxmlformats.org/officeDocument/2006/relationships/hyperlink" Target="https://investor.travelers.com/newsroom/press-releases/news-details/2022/Travelers-Reports-Excellent-First-Quarter-Results-Including-Strong-Earnings-and-Premium-Growth/default.aspx" TargetMode="External" /><Relationship Id="rId21" Type="http://schemas.openxmlformats.org/officeDocument/2006/relationships/hyperlink" Target="https://s26.q4cdn.com/410417801/files/doc_financials/2022/q2/2Q22-Press-Release-FINAL.pdf" TargetMode="External" /><Relationship Id="rId6" Type="http://schemas.openxmlformats.org/officeDocument/2006/relationships/hyperlink" Target="http://investor.travelers.com/file/Index?KeyFile=391853977" TargetMode="External" /><Relationship Id="rId3" Type="http://schemas.openxmlformats.org/officeDocument/2006/relationships/hyperlink" Target="http://investor.travelers.com/Cache/1001244261.PDF?O=PDF&amp;T=&amp;Y=&amp;D=&amp;FID=1001244261&amp;iid=4055530" TargetMode="External" /><Relationship Id="rId8" Type="http://schemas.openxmlformats.org/officeDocument/2006/relationships/hyperlink" Target="http://investor.travelers.com/Cache/1001257430.PDF?O=PDF&amp;T=&amp;Y=&amp;D=&amp;FID=1001257430&amp;iid=4055530" TargetMode="External" /><Relationship Id="rId1" Type="http://schemas.openxmlformats.org/officeDocument/2006/relationships/hyperlink" Target="http://investor.travelers.com/Cache/1500119377.PDF?O=PDF&amp;T=&amp;Y=&amp;D=&amp;FID=1500119377&amp;iid=4055530" TargetMode="External" /><Relationship Id="rId13" Type="http://schemas.openxmlformats.org/officeDocument/2006/relationships/hyperlink" Target="https://s26.q4cdn.com/410417801/files/doc_financials/2020/q4/4Q20-Press-Release-FINAL.pdf" TargetMode="External" /><Relationship Id="rId31" Type="http://schemas.openxmlformats.org/officeDocument/2006/relationships/hyperlink" Target="https://s26.q4cdn.com/410417801/files/doc_financials/2024/q2/2Q24-Press-Release-FINAL.pdf" TargetMode="External" /><Relationship Id="rId25" Type="http://schemas.openxmlformats.org/officeDocument/2006/relationships/hyperlink" Target="https://s26.q4cdn.com/410417801/files/doc_financials/2023/q1/1Q23-Press-Release-FINAL.pdf" TargetMode="External" /><Relationship Id="rId10" Type="http://schemas.openxmlformats.org/officeDocument/2006/relationships/hyperlink" Target="http://investor.travelers.com/file/Index?KeyFile=403677130" TargetMode="External" /><Relationship Id="rId15" Type="http://schemas.openxmlformats.org/officeDocument/2006/relationships/hyperlink" Target="https://investor.travelers.com/newsroom/press-releases/news-details/2021/Travelers-Reports-Strong-First-Quarter-2021-Net-Income-per-Diluted-Share-of-2.87-up-23-and-Return-on-Equity-of-10.2/default.aspx" TargetMode="External" /><Relationship Id="rId5" Type="http://schemas.openxmlformats.org/officeDocument/2006/relationships/hyperlink" Target="http://investor.travelers.com/file/Index?KeyFile=393145778" TargetMode="External" /><Relationship Id="rId23" Type="http://schemas.openxmlformats.org/officeDocument/2006/relationships/hyperlink" Target="https://investor.travelers.com/newsroom/press-releases/news-details/2023/Travelers-Reports-Fourth-Quarter-2022-Net-Income-per-Diluted-Share-of-3.44-and-Return-on-Equity-of-15.8/default.aspx" TargetMode="External" /><Relationship Id="rId27" Type="http://schemas.openxmlformats.org/officeDocument/2006/relationships/hyperlink" Target="https://s26.q4cdn.com/410417801/files/doc_financials/2023/q3/3Q23-Press-Release-FINAL.pdf" TargetMode="External" /><Relationship Id="rId7" Type="http://schemas.openxmlformats.org/officeDocument/2006/relationships/hyperlink" Target="http://investor.travelers.com/Cache/1001254538.PDF?O=PDF&amp;T=&amp;Y=&amp;D=&amp;FID=1001254538&amp;iid=4055530" TargetMode="External" /><Relationship Id="rId11" Type="http://schemas.openxmlformats.org/officeDocument/2006/relationships/hyperlink" Target="http://investor.travelers.com/Cache/IRCache/3a20c69e-a211-f3fd-4b54-3b96257e0292.PDF?O=PDF&amp;T=&amp;Y=&amp;D=&amp;FID=3a20c69e-a211-f3fd-4b54-3b96257e0292&amp;iid=4055530" TargetMode="External" /><Relationship Id="rId2" Type="http://schemas.openxmlformats.org/officeDocument/2006/relationships/hyperlink" Target="http://investor.travelers.com/Quarterly-Results" TargetMode="External" /><Relationship Id="rId29" Type="http://schemas.openxmlformats.org/officeDocument/2006/relationships/hyperlink" Target="https://investor.travelers.com/newsroom/press-releases/news-details/2024/Travelers-Reports-Excellent-Fourth-Quarter-2023-Results/default.aspx" TargetMode="External" /><Relationship Id="rId33" Type="http://schemas.openxmlformats.org/officeDocument/2006/relationships/drawing" Target="../drawings/drawing2.xml" /><Relationship Id="rId19" Type="http://schemas.openxmlformats.org/officeDocument/2006/relationships/hyperlink" Target="https://investor.travelers.com/newsroom/press-releases/news-details/2022/Travelers-Reports-Excellent-Fourth-Quarter-and-Full-Year-Results-Including-Strong-Earnings-and-Premium-Growth/default.aspx" TargetMode="External" /><Relationship Id="rId17" Type="http://schemas.openxmlformats.org/officeDocument/2006/relationships/hyperlink" Target="https://s26.q4cdn.com/410417801/files/doc_financials/2021/q3/3Q21-Press-Release-FINAL.pdf" TargetMode="External" /><Relationship Id="rId12" Type="http://schemas.openxmlformats.org/officeDocument/2006/relationships/hyperlink" Target="http://investor.travelers.com/Cache/IRCache/d5930b8a-91d8-9de9-5822-81923f54c161.PDF?O=PDF&amp;T=&amp;Y=&amp;D=&amp;FID=d5930b8a-91d8-9de9-5822-81923f54c161&amp;iid=4055530" TargetMode="External" /><Relationship Id="rId14" Type="http://schemas.openxmlformats.org/officeDocument/2006/relationships/hyperlink" Target="https://s26.q4cdn.com/410417801/files/doc_financials/2020/q4/4Q20-Press-Release-FINAL.pdf" TargetMode="External" /><Relationship Id="rId32" Type="http://schemas.openxmlformats.org/officeDocument/2006/relationships/hyperlink" Target="https://investor.travelers.com/newsroom/press-releases/news-details/2024/Travelers-Reports-Excellent-Third-Quarter-and-Year-to-Date-Results/default.aspx" TargetMode="External" /><Relationship Id="rId16" Type="http://schemas.openxmlformats.org/officeDocument/2006/relationships/hyperlink" Target="https://s26.q4cdn.com/410417801/files/doc_financials/2021/q2/2Q21-Press-Release-FINAL.pdf" TargetMode="External" /><Relationship Id="rId24" Type="http://schemas.openxmlformats.org/officeDocument/2006/relationships/hyperlink" Target="https://investor.travelers.com/newsroom/press-releases/news-details/2023/Travelers-Reports-Fourth-Quarter-2022-Net-Income-per-Diluted-Share-of-3.44-and-Return-on-Equity-of-15.8/default.aspx" TargetMode="External" /><Relationship Id="rId22" Type="http://schemas.openxmlformats.org/officeDocument/2006/relationships/hyperlink" Target="https://investor.travelers.com/newsroom/press-releases/news-details/2022/Travelers-Reports-Third-Quarter-2022-Net-Income-of-454-million-and-Core-Income-of-526-million-Strong-Results-in-Light-of-Hurricane-Ian/default.aspx"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E6EC2192-BCD6-41B3-B07A-F6286CE5138C}">
  <sheetPr codeName="Sheet5">
    <pageSetUpPr fitToPage="1"/>
  </sheetPr>
  <dimension ref="A1:X57"/>
  <sheetViews>
    <sheetView showGridLines="0" tabSelected="1" zoomScaleSheetLayoutView="100" zoomScalePageLayoutView="97" workbookViewId="0" topLeftCell="A1"/>
  </sheetViews>
  <sheetFormatPr defaultColWidth="8.854285714285714" defaultRowHeight="15"/>
  <cols>
    <col min="1" max="1" width="5.714285714285714" style="19" customWidth="1"/>
    <col min="2" max="2" width="7.857142857142857" style="19" customWidth="1"/>
    <col min="3" max="3" width="10.285714285714286" style="19" customWidth="1"/>
    <col min="4" max="4" width="13.714285714285714" style="19" customWidth="1"/>
    <col min="5" max="5" width="5.428571428571429" style="19" customWidth="1"/>
    <col min="6" max="6" width="13.714285714285714" style="19" customWidth="1"/>
    <col min="7" max="7" width="6.857142857142857" style="19" customWidth="1"/>
    <col min="8" max="8" width="31.714285714285715" style="19" customWidth="1"/>
    <col min="9" max="15" width="8.857142857142858" style="19" customWidth="1"/>
    <col min="16" max="16" width="45.714285714285715" style="19" customWidth="1"/>
    <col min="17" max="21" width="8.857142857142858" style="19" customWidth="1"/>
    <col min="22" max="16384" width="8.857142857142858" style="19"/>
  </cols>
  <sheetData>
    <row r="1" spans="1:24" ht="15">
      <c r="A1" s="696"/>
      <c r="B1" s="696"/>
      <c r="C1" s="696"/>
      <c r="D1" s="696"/>
      <c r="E1" s="696"/>
      <c r="F1" s="696"/>
      <c r="G1" s="696"/>
      <c r="H1" s="696"/>
      <c r="I1" s="696"/>
      <c r="J1" s="696"/>
      <c r="K1" s="696"/>
      <c r="L1" s="696"/>
      <c r="M1" s="696"/>
      <c r="N1" s="696"/>
      <c r="O1" s="696"/>
      <c r="P1" s="696"/>
      <c r="Q1" s="696"/>
      <c r="R1" s="696"/>
      <c r="S1" s="696"/>
      <c r="T1" s="696"/>
      <c r="U1" s="696"/>
      <c r="V1" s="696"/>
      <c r="W1" s="696"/>
      <c r="X1" s="696"/>
    </row>
    <row r="2" spans="1:24" ht="15">
      <c r="A2" s="696"/>
      <c r="B2" s="696"/>
      <c r="C2" s="696"/>
      <c r="D2" s="696"/>
      <c r="E2" s="696"/>
      <c r="F2" s="696"/>
      <c r="G2" s="696"/>
      <c r="H2" s="696"/>
      <c r="I2" s="696"/>
      <c r="J2" s="696"/>
      <c r="K2" s="696"/>
      <c r="L2" s="696"/>
      <c r="M2" s="696"/>
      <c r="N2" s="696"/>
      <c r="O2" s="696"/>
      <c r="P2" s="696"/>
      <c r="Q2" s="696"/>
      <c r="R2" s="696"/>
      <c r="S2" s="696"/>
      <c r="T2" s="696"/>
      <c r="U2" s="696"/>
      <c r="V2" s="696"/>
      <c r="W2" s="696"/>
      <c r="X2" s="696"/>
    </row>
    <row r="3" spans="1:24" ht="15">
      <c r="A3" s="696"/>
      <c r="B3" s="696"/>
      <c r="C3" s="696"/>
      <c r="D3" s="696"/>
      <c r="E3" s="696"/>
      <c r="F3" s="696"/>
      <c r="G3" s="696"/>
      <c r="H3" s="696"/>
      <c r="I3" s="696"/>
      <c r="J3" s="696"/>
      <c r="K3" s="696"/>
      <c r="L3" s="696"/>
      <c r="M3" s="696"/>
      <c r="N3" s="696"/>
      <c r="O3" s="696"/>
      <c r="P3" s="696"/>
      <c r="Q3" s="696"/>
      <c r="R3" s="696"/>
      <c r="S3" s="696"/>
      <c r="T3" s="696"/>
      <c r="U3" s="696"/>
      <c r="V3" s="696"/>
      <c r="W3" s="696"/>
      <c r="X3" s="696"/>
    </row>
    <row r="4" spans="1:24" ht="15">
      <c r="A4" s="696"/>
      <c r="B4" s="696"/>
      <c r="C4" s="696"/>
      <c r="D4" s="696"/>
      <c r="E4" s="696"/>
      <c r="F4" s="696"/>
      <c r="G4" s="696"/>
      <c r="H4" s="696"/>
      <c r="I4" s="696"/>
      <c r="J4" s="696"/>
      <c r="K4" s="696"/>
      <c r="L4" s="696"/>
      <c r="M4" s="696"/>
      <c r="N4" s="696"/>
      <c r="O4" s="696"/>
      <c r="P4" s="696"/>
      <c r="Q4" s="696"/>
      <c r="R4" s="696"/>
      <c r="S4" s="696"/>
      <c r="T4" s="696"/>
      <c r="U4" s="696"/>
      <c r="V4" s="696"/>
      <c r="W4" s="696"/>
      <c r="X4" s="696"/>
    </row>
    <row r="5" spans="1:24" ht="15">
      <c r="A5" s="696"/>
      <c r="B5" s="696"/>
      <c r="C5" s="696"/>
      <c r="D5" s="696"/>
      <c r="E5" s="696"/>
      <c r="F5" s="696"/>
      <c r="G5" s="696"/>
      <c r="H5" s="696"/>
      <c r="I5" s="696"/>
      <c r="J5" s="696"/>
      <c r="K5" s="696"/>
      <c r="L5" s="696"/>
      <c r="M5" s="696"/>
      <c r="N5" s="696"/>
      <c r="O5" s="696"/>
      <c r="P5" s="696"/>
      <c r="Q5" s="696"/>
      <c r="R5" s="696"/>
      <c r="S5" s="696"/>
      <c r="T5" s="696"/>
      <c r="U5" s="696"/>
      <c r="V5" s="696"/>
      <c r="W5" s="696"/>
      <c r="X5" s="696"/>
    </row>
    <row r="6" spans="1:24" ht="18.75">
      <c r="A6" s="696"/>
      <c r="B6" s="696"/>
      <c r="C6" s="696"/>
      <c r="D6" s="696"/>
      <c r="E6" s="696"/>
      <c r="F6" s="696"/>
      <c r="G6" s="696"/>
      <c r="H6" s="696"/>
      <c r="I6" s="696"/>
      <c r="J6" s="696"/>
      <c r="K6" s="696"/>
      <c r="L6" s="696"/>
      <c r="M6" s="697" t="s">
        <v>0</v>
      </c>
      <c r="N6" s="696"/>
      <c r="O6" s="696"/>
      <c r="P6" s="696"/>
      <c r="Q6" s="696"/>
      <c r="R6" s="696"/>
      <c r="S6" s="696"/>
      <c r="T6" s="696"/>
      <c r="U6" s="696"/>
      <c r="V6" s="696"/>
      <c r="W6" s="696"/>
      <c r="X6" s="696"/>
    </row>
    <row r="7" spans="1:24" ht="18.75">
      <c r="A7" s="696"/>
      <c r="B7" s="696"/>
      <c r="C7" s="696"/>
      <c r="D7" s="696"/>
      <c r="E7" s="696"/>
      <c r="F7" s="696"/>
      <c r="G7" s="696"/>
      <c r="H7" s="696"/>
      <c r="I7" s="696"/>
      <c r="J7" s="696"/>
      <c r="K7" s="696"/>
      <c r="L7" s="696"/>
      <c r="M7" s="902" t="s">
        <v>1</v>
      </c>
      <c r="N7" s="902"/>
      <c r="O7" s="902"/>
      <c r="P7" s="696"/>
      <c r="Q7" s="696"/>
      <c r="R7" s="696"/>
      <c r="S7" s="696"/>
      <c r="T7" s="696"/>
      <c r="U7" s="696"/>
      <c r="V7" s="696"/>
      <c r="W7" s="696"/>
      <c r="X7" s="696"/>
    </row>
    <row r="8" spans="1:24" ht="28.5">
      <c r="A8" s="696"/>
      <c r="B8" s="696"/>
      <c r="C8" s="696"/>
      <c r="D8" s="696"/>
      <c r="E8" s="696"/>
      <c r="F8" s="14"/>
      <c r="G8" s="14"/>
      <c r="H8" s="14"/>
      <c r="I8" s="14"/>
      <c r="J8" s="14"/>
      <c r="K8" s="14"/>
      <c r="L8" s="696"/>
      <c r="M8" s="696"/>
      <c r="N8" s="696"/>
      <c r="O8" s="696"/>
      <c r="P8" s="696"/>
      <c r="Q8" s="696"/>
      <c r="R8" s="696"/>
      <c r="S8" s="696"/>
      <c r="T8" s="696"/>
      <c r="U8" s="696"/>
      <c r="V8" s="696"/>
      <c r="W8" s="696"/>
      <c r="X8" s="696"/>
    </row>
    <row r="9" spans="1:24" ht="18.75">
      <c r="A9" s="696"/>
      <c r="B9" s="696"/>
      <c r="C9" s="698" t="s">
        <v>2</v>
      </c>
      <c r="D9" s="699"/>
      <c r="E9" s="699"/>
      <c r="F9" s="699"/>
      <c r="G9" s="699"/>
      <c r="H9" s="700" t="str">
        <f>Model!A1</f>
        <v>The Travelers Companies, Inc.</v>
      </c>
      <c r="I9" s="699"/>
      <c r="J9" s="699"/>
      <c r="K9" s="699"/>
      <c r="L9" s="699"/>
      <c r="M9" s="809" t="s">
        <v>664</v>
      </c>
      <c r="N9" s="699"/>
      <c r="O9" s="699"/>
      <c r="Q9" s="696"/>
      <c r="R9" s="696"/>
      <c r="S9" s="696"/>
      <c r="T9" s="696"/>
      <c r="U9" s="696"/>
      <c r="V9" s="696"/>
      <c r="W9" s="696"/>
      <c r="X9" s="696"/>
    </row>
    <row r="10" spans="1:24" ht="18.75">
      <c r="A10" s="696"/>
      <c r="B10" s="696"/>
      <c r="C10" s="701"/>
      <c r="D10" s="696"/>
      <c r="E10" s="696"/>
      <c r="F10" s="696"/>
      <c r="G10" s="696"/>
      <c r="H10" s="696"/>
      <c r="I10" s="696"/>
      <c r="J10" s="696"/>
      <c r="K10" s="696"/>
      <c r="L10" s="696"/>
      <c r="M10" s="810" t="s">
        <v>665</v>
      </c>
      <c r="N10" s="696"/>
      <c r="O10" s="696"/>
      <c r="Q10" s="696"/>
      <c r="R10" s="696"/>
      <c r="S10" s="696"/>
      <c r="T10" s="696"/>
      <c r="U10" s="696"/>
      <c r="V10" s="696"/>
      <c r="W10" s="696"/>
      <c r="X10" s="696"/>
    </row>
    <row r="11" spans="1:24" ht="18.75">
      <c r="A11" s="696"/>
      <c r="B11" s="696"/>
      <c r="C11" s="698" t="s">
        <v>4</v>
      </c>
      <c r="D11" s="696"/>
      <c r="E11" s="696"/>
      <c r="F11" s="696"/>
      <c r="G11" s="696"/>
      <c r="H11" s="733">
        <f ca="1">OFFSET('Update Log'!$C$10,1,0,1,1)</f>
        <v>45582</v>
      </c>
      <c r="I11" s="696"/>
      <c r="J11" s="696"/>
      <c r="K11" s="696"/>
      <c r="L11" s="696"/>
      <c r="M11" s="696"/>
      <c r="N11" s="696"/>
      <c r="O11" s="696"/>
      <c r="Q11" s="696"/>
      <c r="R11" s="696"/>
      <c r="S11" s="696"/>
      <c r="T11" s="696"/>
      <c r="U11" s="696"/>
      <c r="V11" s="696"/>
      <c r="W11" s="696"/>
      <c r="X11" s="696"/>
    </row>
    <row r="12" spans="1:24" ht="18.75">
      <c r="A12" s="696"/>
      <c r="B12" s="696"/>
      <c r="C12" s="696"/>
      <c r="D12" s="696"/>
      <c r="E12" s="696"/>
      <c r="F12" s="696"/>
      <c r="G12" s="696"/>
      <c r="H12" s="703"/>
      <c r="I12" s="696"/>
      <c r="J12" s="696"/>
      <c r="K12" s="696"/>
      <c r="L12" s="696"/>
      <c r="M12" s="698" t="s">
        <v>3</v>
      </c>
      <c r="N12" s="696"/>
      <c r="O12" s="696"/>
      <c r="Q12" s="696"/>
      <c r="R12" s="696"/>
      <c r="S12" s="696"/>
      <c r="T12" s="696"/>
      <c r="U12" s="696"/>
      <c r="V12" s="696"/>
      <c r="W12" s="696"/>
      <c r="X12" s="696"/>
    </row>
    <row r="13" spans="1:24" ht="18.75">
      <c r="A13" s="696"/>
      <c r="B13" s="696"/>
      <c r="C13" s="698" t="s">
        <v>5</v>
      </c>
      <c r="D13" s="696"/>
      <c r="E13" s="696"/>
      <c r="F13" s="696"/>
      <c r="G13" s="696"/>
      <c r="H13" s="734" t="str">
        <f ca="1">OFFSET('Update Log'!$E$10,1,0,1,1)</f>
        <v>Quarterly (Earnings Report)</v>
      </c>
      <c r="I13" s="696"/>
      <c r="J13" s="696"/>
      <c r="K13" s="696"/>
      <c r="L13" s="696"/>
      <c r="M13" s="4"/>
      <c r="N13" s="3"/>
      <c r="O13" s="3"/>
      <c r="P13" s="2"/>
      <c r="Q13" s="696"/>
      <c r="R13" s="696"/>
      <c r="S13" s="696"/>
      <c r="T13" s="696"/>
      <c r="U13" s="696"/>
      <c r="V13" s="696"/>
      <c r="W13" s="696"/>
      <c r="X13" s="696"/>
    </row>
    <row r="14" spans="1:24" ht="15">
      <c r="A14" s="696"/>
      <c r="B14" s="696"/>
      <c r="C14" s="696"/>
      <c r="D14" s="696"/>
      <c r="E14" s="696"/>
      <c r="F14" s="696"/>
      <c r="G14" s="696"/>
      <c r="H14" s="696"/>
      <c r="I14" s="696"/>
      <c r="J14" s="696"/>
      <c r="K14" s="696"/>
      <c r="L14" s="696"/>
      <c r="M14" s="4"/>
      <c r="N14" s="3"/>
      <c r="O14" s="3"/>
      <c r="P14" s="2"/>
      <c r="Q14" s="696"/>
      <c r="R14" s="696"/>
      <c r="S14" s="696"/>
      <c r="T14" s="696"/>
      <c r="U14" s="696"/>
      <c r="V14" s="696"/>
      <c r="W14" s="696"/>
      <c r="X14" s="696"/>
    </row>
    <row r="15" spans="1:24" ht="18.75" customHeight="1">
      <c r="A15" s="696"/>
      <c r="B15" s="696"/>
      <c r="C15" s="698" t="s">
        <v>6</v>
      </c>
      <c r="D15" s="699"/>
      <c r="E15" s="699"/>
      <c r="F15" s="699"/>
      <c r="G15" s="699"/>
      <c r="H15" s="735" t="s">
        <v>7</v>
      </c>
      <c r="I15" s="696"/>
      <c r="J15" s="704"/>
      <c r="K15" s="696"/>
      <c r="L15" s="696"/>
      <c r="M15" s="4"/>
      <c r="N15" s="3"/>
      <c r="O15" s="3"/>
      <c r="P15" s="2"/>
      <c r="Q15" s="696"/>
      <c r="R15" s="696"/>
      <c r="S15" s="696"/>
      <c r="T15" s="696"/>
      <c r="U15" s="696"/>
      <c r="V15" s="696"/>
      <c r="W15" s="696"/>
      <c r="X15" s="696"/>
    </row>
    <row r="16" spans="1:24" ht="15" customHeight="1">
      <c r="A16" s="696"/>
      <c r="B16" s="696"/>
      <c r="C16" s="699"/>
      <c r="D16" s="705"/>
      <c r="E16" s="705"/>
      <c r="F16" s="705"/>
      <c r="G16" s="705"/>
      <c r="H16" s="706">
        <f>IF(FP.DataSourceName="Bloomberg",1,IF(FP.DataSourceName="Capital IQ",2,IF(FP.DataSourceName="FactSet",3,IF(FP.DataSourceName="Refinitiv",4))))</f>
        <v>1</v>
      </c>
      <c r="I16" s="707"/>
      <c r="J16" s="704"/>
      <c r="K16" s="696"/>
      <c r="L16" s="696"/>
      <c r="M16" s="4"/>
      <c r="N16" s="3"/>
      <c r="O16" s="3"/>
      <c r="P16" s="2"/>
      <c r="Q16" s="696"/>
      <c r="R16" s="696"/>
      <c r="S16" s="696"/>
      <c r="T16" s="696"/>
      <c r="U16" s="696"/>
      <c r="V16" s="696"/>
      <c r="W16" s="696"/>
      <c r="X16" s="696"/>
    </row>
    <row r="17" spans="1:24" s="50" customFormat="1" ht="18.75">
      <c r="A17" s="705"/>
      <c r="B17" s="705"/>
      <c r="C17" s="701"/>
      <c r="D17" s="705"/>
      <c r="E17" s="705"/>
      <c r="F17" s="705"/>
      <c r="G17" s="705"/>
      <c r="H17" s="705"/>
      <c r="I17" s="707"/>
      <c r="J17" s="704"/>
      <c r="K17" s="696"/>
      <c r="L17" s="696"/>
      <c r="M17" s="4"/>
      <c r="N17" s="1"/>
      <c r="O17" s="1"/>
      <c r="P17" s="901"/>
      <c r="Q17" s="705"/>
      <c r="R17" s="705"/>
      <c r="S17" s="705"/>
      <c r="T17" s="705"/>
      <c r="U17" s="705"/>
      <c r="V17" s="705"/>
      <c r="W17" s="696"/>
      <c r="X17" s="705"/>
    </row>
    <row r="18" spans="1:24" s="50" customFormat="1" ht="18.75" customHeight="1">
      <c r="A18" s="705"/>
      <c r="B18" s="705"/>
      <c r="C18" s="698" t="s">
        <v>8</v>
      </c>
      <c r="D18" s="699"/>
      <c r="E18" s="699"/>
      <c r="F18" s="699"/>
      <c r="G18" s="699"/>
      <c r="H18" s="735" t="s">
        <v>585</v>
      </c>
      <c r="I18" s="708"/>
      <c r="J18" s="708"/>
      <c r="K18" s="696"/>
      <c r="L18" s="696"/>
      <c r="M18" s="4"/>
      <c r="N18" s="1"/>
      <c r="O18" s="1"/>
      <c r="P18" s="901"/>
      <c r="Q18" s="705"/>
      <c r="R18" s="705"/>
      <c r="S18" s="705"/>
      <c r="T18" s="705"/>
      <c r="U18" s="705"/>
      <c r="V18" s="705"/>
      <c r="W18" s="696"/>
      <c r="X18" s="705"/>
    </row>
    <row r="19" spans="1:24" s="50" customFormat="1" ht="15">
      <c r="A19" s="705"/>
      <c r="B19" s="705"/>
      <c r="C19" s="699"/>
      <c r="D19" s="705"/>
      <c r="E19" s="705"/>
      <c r="F19" s="705"/>
      <c r="G19" s="705"/>
      <c r="H19" s="705"/>
      <c r="I19" s="707"/>
      <c r="J19" s="704"/>
      <c r="K19" s="696"/>
      <c r="L19" s="696"/>
      <c r="M19" s="4"/>
      <c r="N19" s="1"/>
      <c r="O19" s="1"/>
      <c r="P19" s="901"/>
      <c r="Q19" s="705"/>
      <c r="R19" s="705"/>
      <c r="S19" s="705"/>
      <c r="T19" s="705"/>
      <c r="U19" s="705"/>
      <c r="V19" s="705"/>
      <c r="W19" s="696"/>
      <c r="X19" s="705"/>
    </row>
    <row r="20" spans="1:24" s="50" customFormat="1" ht="18.75" customHeight="1">
      <c r="A20" s="705"/>
      <c r="B20" s="705"/>
      <c r="C20" s="709" t="s">
        <v>9</v>
      </c>
      <c r="D20" s="705"/>
      <c r="E20" s="705"/>
      <c r="F20" s="710">
        <v>45581</v>
      </c>
      <c r="G20" s="705"/>
      <c r="H20" s="736">
        <v>242.95</v>
      </c>
      <c r="I20" s="707"/>
      <c r="J20" s="704"/>
      <c r="K20" s="696"/>
      <c r="L20" s="696"/>
      <c r="M20" s="4"/>
      <c r="N20" s="1"/>
      <c r="O20" s="1"/>
      <c r="P20" s="901"/>
      <c r="Q20" s="705"/>
      <c r="R20" s="705"/>
      <c r="S20" s="705"/>
      <c r="T20" s="705"/>
      <c r="U20" s="705"/>
      <c r="V20" s="705"/>
      <c r="W20" s="696"/>
      <c r="X20" s="705"/>
    </row>
    <row r="21" spans="1:24" s="50" customFormat="1" ht="15">
      <c r="A21" s="705"/>
      <c r="B21" s="705"/>
      <c r="C21" s="705"/>
      <c r="D21" s="696"/>
      <c r="E21" s="696"/>
      <c r="F21" s="696"/>
      <c r="G21" s="696"/>
      <c r="H21" s="696"/>
      <c r="I21" s="696"/>
      <c r="J21" s="696"/>
      <c r="K21" s="696"/>
      <c r="L21" s="696"/>
      <c r="M21" s="696"/>
      <c r="N21" s="705"/>
      <c r="O21" s="705"/>
      <c r="P21" s="705"/>
      <c r="Q21" s="705"/>
      <c r="R21" s="705"/>
      <c r="S21" s="705"/>
      <c r="T21" s="705"/>
      <c r="U21" s="705"/>
      <c r="V21" s="705"/>
      <c r="W21" s="705"/>
      <c r="X21" s="705"/>
    </row>
    <row r="22" spans="1:24" ht="15.95" customHeight="1">
      <c r="A22" s="696"/>
      <c r="B22" s="696"/>
      <c r="C22" s="13" t="s">
        <v>351</v>
      </c>
      <c r="D22" s="12"/>
      <c r="E22" s="12"/>
      <c r="F22" s="12"/>
      <c r="G22" s="12"/>
      <c r="H22" s="12"/>
      <c r="I22" s="12"/>
      <c r="J22" s="12"/>
      <c r="K22" s="12"/>
      <c r="L22" s="12"/>
      <c r="M22" s="12"/>
      <c r="N22" s="12"/>
      <c r="O22" s="12"/>
      <c r="P22" s="11"/>
      <c r="Q22" s="696"/>
      <c r="R22" s="696"/>
      <c r="S22" s="696"/>
      <c r="T22" s="696"/>
      <c r="U22" s="696"/>
      <c r="V22" s="696"/>
      <c r="W22" s="696"/>
      <c r="X22" s="696"/>
    </row>
    <row r="23" spans="1:24" ht="15.95" customHeight="1">
      <c r="A23" s="696"/>
      <c r="B23" s="696"/>
      <c r="C23" s="10"/>
      <c r="D23" s="9"/>
      <c r="E23" s="9"/>
      <c r="F23" s="9"/>
      <c r="G23" s="9"/>
      <c r="H23" s="9"/>
      <c r="I23" s="9"/>
      <c r="J23" s="9"/>
      <c r="K23" s="9"/>
      <c r="L23" s="9"/>
      <c r="M23" s="9"/>
      <c r="N23" s="9"/>
      <c r="O23" s="9"/>
      <c r="P23" s="8"/>
      <c r="Q23" s="696"/>
      <c r="R23" s="696"/>
      <c r="S23" s="696"/>
      <c r="T23" s="696"/>
      <c r="U23" s="696"/>
      <c r="V23" s="696"/>
      <c r="W23" s="696"/>
      <c r="X23" s="696"/>
    </row>
    <row r="24" spans="1:24" ht="15.95" customHeight="1">
      <c r="A24" s="696"/>
      <c r="B24" s="696"/>
      <c r="C24" s="10"/>
      <c r="D24" s="9"/>
      <c r="E24" s="9"/>
      <c r="F24" s="9"/>
      <c r="G24" s="9"/>
      <c r="H24" s="9"/>
      <c r="I24" s="9"/>
      <c r="J24" s="9"/>
      <c r="K24" s="9"/>
      <c r="L24" s="9"/>
      <c r="M24" s="9"/>
      <c r="N24" s="9"/>
      <c r="O24" s="9"/>
      <c r="P24" s="8"/>
      <c r="Q24" s="696"/>
      <c r="R24" s="696"/>
      <c r="S24" s="696"/>
      <c r="T24" s="696"/>
      <c r="U24" s="696"/>
      <c r="V24" s="696"/>
      <c r="W24" s="696"/>
      <c r="X24" s="696"/>
    </row>
    <row r="25" spans="1:24" ht="15.95" customHeight="1">
      <c r="A25" s="696"/>
      <c r="B25" s="696"/>
      <c r="C25" s="10"/>
      <c r="D25" s="9"/>
      <c r="E25" s="9"/>
      <c r="F25" s="9"/>
      <c r="G25" s="9"/>
      <c r="H25" s="9"/>
      <c r="I25" s="9"/>
      <c r="J25" s="9"/>
      <c r="K25" s="9"/>
      <c r="L25" s="9"/>
      <c r="M25" s="9"/>
      <c r="N25" s="9"/>
      <c r="O25" s="9"/>
      <c r="P25" s="8"/>
      <c r="Q25" s="696"/>
      <c r="R25" s="696"/>
      <c r="S25" s="696"/>
      <c r="T25" s="696"/>
      <c r="U25" s="696"/>
      <c r="V25" s="696"/>
      <c r="W25" s="696"/>
      <c r="X25" s="696"/>
    </row>
    <row r="26" spans="1:24" ht="15.95" customHeight="1">
      <c r="A26" s="696"/>
      <c r="B26" s="696"/>
      <c r="C26" s="10"/>
      <c r="D26" s="9"/>
      <c r="E26" s="9"/>
      <c r="F26" s="9"/>
      <c r="G26" s="9"/>
      <c r="H26" s="9"/>
      <c r="I26" s="9"/>
      <c r="J26" s="9"/>
      <c r="K26" s="9"/>
      <c r="L26" s="9"/>
      <c r="M26" s="9"/>
      <c r="N26" s="9"/>
      <c r="O26" s="9"/>
      <c r="P26" s="8"/>
      <c r="Q26" s="696"/>
      <c r="R26" s="696"/>
      <c r="S26" s="696"/>
      <c r="T26" s="696"/>
      <c r="U26" s="696"/>
      <c r="V26" s="696"/>
      <c r="W26" s="696"/>
      <c r="X26" s="696"/>
    </row>
    <row r="27" spans="1:24" ht="15.95" customHeight="1">
      <c r="A27" s="696"/>
      <c r="B27" s="696"/>
      <c r="C27" s="10"/>
      <c r="D27" s="9"/>
      <c r="E27" s="9"/>
      <c r="F27" s="9"/>
      <c r="G27" s="9"/>
      <c r="H27" s="9"/>
      <c r="I27" s="9"/>
      <c r="J27" s="9"/>
      <c r="K27" s="9"/>
      <c r="L27" s="9"/>
      <c r="M27" s="9"/>
      <c r="N27" s="9"/>
      <c r="O27" s="9"/>
      <c r="P27" s="8"/>
      <c r="Q27" s="696"/>
      <c r="R27" s="696"/>
      <c r="S27" s="696"/>
      <c r="T27" s="696"/>
      <c r="U27" s="696"/>
      <c r="V27" s="696"/>
      <c r="W27" s="696"/>
      <c r="X27" s="696"/>
    </row>
    <row r="28" spans="1:24" ht="15.95" customHeight="1">
      <c r="A28" s="696"/>
      <c r="B28" s="696"/>
      <c r="C28" s="10"/>
      <c r="D28" s="9"/>
      <c r="E28" s="9"/>
      <c r="F28" s="9"/>
      <c r="G28" s="9"/>
      <c r="H28" s="9"/>
      <c r="I28" s="9"/>
      <c r="J28" s="9"/>
      <c r="K28" s="9"/>
      <c r="L28" s="9"/>
      <c r="M28" s="9"/>
      <c r="N28" s="9"/>
      <c r="O28" s="9"/>
      <c r="P28" s="8"/>
      <c r="Q28" s="696"/>
      <c r="R28" s="696"/>
      <c r="S28" s="696"/>
      <c r="T28" s="696"/>
      <c r="U28" s="696"/>
      <c r="V28" s="696"/>
      <c r="W28" s="696"/>
      <c r="X28" s="696"/>
    </row>
    <row r="29" spans="1:24" ht="15.95" customHeight="1">
      <c r="A29" s="696"/>
      <c r="B29" s="696"/>
      <c r="C29" s="10"/>
      <c r="D29" s="9"/>
      <c r="E29" s="9"/>
      <c r="F29" s="9"/>
      <c r="G29" s="9"/>
      <c r="H29" s="9"/>
      <c r="I29" s="9"/>
      <c r="J29" s="9"/>
      <c r="K29" s="9"/>
      <c r="L29" s="9"/>
      <c r="M29" s="9"/>
      <c r="N29" s="9"/>
      <c r="O29" s="9"/>
      <c r="P29" s="8"/>
      <c r="Q29" s="696"/>
      <c r="R29" s="696"/>
      <c r="S29" s="696"/>
      <c r="T29" s="696"/>
      <c r="U29" s="696"/>
      <c r="V29" s="696"/>
      <c r="W29" s="696"/>
      <c r="X29" s="696"/>
    </row>
    <row r="30" spans="1:24" ht="15.95" customHeight="1">
      <c r="A30" s="696"/>
      <c r="B30" s="696"/>
      <c r="C30" s="10"/>
      <c r="D30" s="9"/>
      <c r="E30" s="9"/>
      <c r="F30" s="9"/>
      <c r="G30" s="9"/>
      <c r="H30" s="9"/>
      <c r="I30" s="9"/>
      <c r="J30" s="9"/>
      <c r="K30" s="9"/>
      <c r="L30" s="9"/>
      <c r="M30" s="9"/>
      <c r="N30" s="9"/>
      <c r="O30" s="9"/>
      <c r="P30" s="8"/>
      <c r="Q30" s="696"/>
      <c r="R30" s="696"/>
      <c r="S30" s="696"/>
      <c r="T30" s="696"/>
      <c r="U30" s="696"/>
      <c r="V30" s="696"/>
      <c r="W30" s="696"/>
      <c r="X30" s="696"/>
    </row>
    <row r="31" spans="1:24" ht="15.95" customHeight="1">
      <c r="A31" s="696"/>
      <c r="B31" s="696"/>
      <c r="C31" s="10"/>
      <c r="D31" s="9"/>
      <c r="E31" s="9"/>
      <c r="F31" s="9"/>
      <c r="G31" s="9"/>
      <c r="H31" s="9"/>
      <c r="I31" s="9"/>
      <c r="J31" s="9"/>
      <c r="K31" s="9"/>
      <c r="L31" s="9"/>
      <c r="M31" s="9"/>
      <c r="N31" s="9"/>
      <c r="O31" s="9"/>
      <c r="P31" s="8"/>
      <c r="Q31" s="696"/>
      <c r="R31" s="696"/>
      <c r="S31" s="696"/>
      <c r="T31" s="696"/>
      <c r="U31" s="696"/>
      <c r="V31" s="696"/>
      <c r="W31" s="696"/>
      <c r="X31" s="696"/>
    </row>
    <row r="32" spans="1:24" ht="15.95" customHeight="1">
      <c r="A32" s="696"/>
      <c r="B32" s="696"/>
      <c r="C32" s="10"/>
      <c r="D32" s="9"/>
      <c r="E32" s="9"/>
      <c r="F32" s="9"/>
      <c r="G32" s="9"/>
      <c r="H32" s="9"/>
      <c r="I32" s="9"/>
      <c r="J32" s="9"/>
      <c r="K32" s="9"/>
      <c r="L32" s="9"/>
      <c r="M32" s="9"/>
      <c r="N32" s="9"/>
      <c r="O32" s="9"/>
      <c r="P32" s="8"/>
      <c r="Q32" s="696"/>
      <c r="R32" s="696"/>
      <c r="S32" s="696"/>
      <c r="T32" s="696"/>
      <c r="U32" s="696"/>
      <c r="V32" s="696"/>
      <c r="W32" s="696"/>
      <c r="X32" s="696"/>
    </row>
    <row r="33" spans="1:24" ht="15.95" customHeight="1">
      <c r="A33" s="696"/>
      <c r="B33" s="696"/>
      <c r="C33" s="10"/>
      <c r="D33" s="9"/>
      <c r="E33" s="9"/>
      <c r="F33" s="9"/>
      <c r="G33" s="9"/>
      <c r="H33" s="9"/>
      <c r="I33" s="9"/>
      <c r="J33" s="9"/>
      <c r="K33" s="9"/>
      <c r="L33" s="9"/>
      <c r="M33" s="9"/>
      <c r="N33" s="9"/>
      <c r="O33" s="9"/>
      <c r="P33" s="8"/>
      <c r="Q33" s="696"/>
      <c r="R33" s="696"/>
      <c r="S33" s="696"/>
      <c r="T33" s="696"/>
      <c r="U33" s="696"/>
      <c r="V33" s="696"/>
      <c r="W33" s="696"/>
      <c r="X33" s="696"/>
    </row>
    <row r="34" spans="1:24" ht="15.95" customHeight="1">
      <c r="A34" s="696"/>
      <c r="B34" s="696"/>
      <c r="C34" s="10"/>
      <c r="D34" s="9"/>
      <c r="E34" s="9"/>
      <c r="F34" s="9"/>
      <c r="G34" s="9"/>
      <c r="H34" s="9"/>
      <c r="I34" s="9"/>
      <c r="J34" s="9"/>
      <c r="K34" s="9"/>
      <c r="L34" s="9"/>
      <c r="M34" s="9"/>
      <c r="N34" s="9"/>
      <c r="O34" s="9"/>
      <c r="P34" s="8"/>
      <c r="Q34" s="696"/>
      <c r="R34" s="696"/>
      <c r="S34" s="696"/>
      <c r="T34" s="696"/>
      <c r="U34" s="696"/>
      <c r="V34" s="696"/>
      <c r="W34" s="696"/>
      <c r="X34" s="696"/>
    </row>
    <row r="35" spans="1:24" ht="15.95" customHeight="1">
      <c r="A35" s="696"/>
      <c r="B35" s="696"/>
      <c r="C35" s="10"/>
      <c r="D35" s="9"/>
      <c r="E35" s="9"/>
      <c r="F35" s="9"/>
      <c r="G35" s="9"/>
      <c r="H35" s="9"/>
      <c r="I35" s="9"/>
      <c r="J35" s="9"/>
      <c r="K35" s="9"/>
      <c r="L35" s="9"/>
      <c r="M35" s="9"/>
      <c r="N35" s="9"/>
      <c r="O35" s="9"/>
      <c r="P35" s="8"/>
      <c r="Q35" s="696"/>
      <c r="R35" s="696"/>
      <c r="S35" s="696"/>
      <c r="T35" s="696"/>
      <c r="U35" s="696"/>
      <c r="V35" s="696"/>
      <c r="W35" s="696"/>
      <c r="X35" s="696"/>
    </row>
    <row r="36" spans="1:24" ht="15.95" customHeight="1">
      <c r="A36" s="696"/>
      <c r="B36" s="696"/>
      <c r="C36" s="10"/>
      <c r="D36" s="9"/>
      <c r="E36" s="9"/>
      <c r="F36" s="9"/>
      <c r="G36" s="9"/>
      <c r="H36" s="9"/>
      <c r="I36" s="9"/>
      <c r="J36" s="9"/>
      <c r="K36" s="9"/>
      <c r="L36" s="9"/>
      <c r="M36" s="9"/>
      <c r="N36" s="9"/>
      <c r="O36" s="9"/>
      <c r="P36" s="8"/>
      <c r="Q36" s="696"/>
      <c r="R36" s="696"/>
      <c r="S36" s="696"/>
      <c r="T36" s="696"/>
      <c r="U36" s="696"/>
      <c r="V36" s="696"/>
      <c r="W36" s="696"/>
      <c r="X36" s="696"/>
    </row>
    <row r="37" spans="1:24" ht="15.95" customHeight="1">
      <c r="A37" s="696"/>
      <c r="B37" s="696"/>
      <c r="C37" s="10"/>
      <c r="D37" s="9"/>
      <c r="E37" s="9"/>
      <c r="F37" s="9"/>
      <c r="G37" s="9"/>
      <c r="H37" s="9"/>
      <c r="I37" s="9"/>
      <c r="J37" s="9"/>
      <c r="K37" s="9"/>
      <c r="L37" s="9"/>
      <c r="M37" s="9"/>
      <c r="N37" s="9"/>
      <c r="O37" s="9"/>
      <c r="P37" s="8"/>
      <c r="Q37" s="696"/>
      <c r="R37" s="696"/>
      <c r="S37" s="696"/>
      <c r="T37" s="696"/>
      <c r="U37" s="696"/>
      <c r="V37" s="696"/>
      <c r="W37" s="696"/>
      <c r="X37" s="696"/>
    </row>
    <row r="38" spans="1:24" ht="15.95" customHeight="1">
      <c r="A38" s="696"/>
      <c r="B38" s="696"/>
      <c r="C38" s="10"/>
      <c r="D38" s="9"/>
      <c r="E38" s="9"/>
      <c r="F38" s="9"/>
      <c r="G38" s="9"/>
      <c r="H38" s="9"/>
      <c r="I38" s="9"/>
      <c r="J38" s="9"/>
      <c r="K38" s="9"/>
      <c r="L38" s="9"/>
      <c r="M38" s="9"/>
      <c r="N38" s="9"/>
      <c r="O38" s="9"/>
      <c r="P38" s="8"/>
      <c r="Q38" s="696"/>
      <c r="R38" s="696"/>
      <c r="S38" s="696"/>
      <c r="T38" s="696"/>
      <c r="U38" s="696"/>
      <c r="V38" s="696"/>
      <c r="W38" s="696"/>
      <c r="X38" s="696"/>
    </row>
    <row r="39" spans="1:24" ht="15.95" customHeight="1">
      <c r="A39" s="696"/>
      <c r="B39" s="696"/>
      <c r="C39" s="10"/>
      <c r="D39" s="9"/>
      <c r="E39" s="9"/>
      <c r="F39" s="9"/>
      <c r="G39" s="9"/>
      <c r="H39" s="9"/>
      <c r="I39" s="9"/>
      <c r="J39" s="9"/>
      <c r="K39" s="9"/>
      <c r="L39" s="9"/>
      <c r="M39" s="9"/>
      <c r="N39" s="9"/>
      <c r="O39" s="9"/>
      <c r="P39" s="8"/>
      <c r="Q39" s="696"/>
      <c r="R39" s="696"/>
      <c r="S39" s="696"/>
      <c r="T39" s="696"/>
      <c r="U39" s="696"/>
      <c r="V39" s="696"/>
      <c r="W39" s="696"/>
      <c r="X39" s="696"/>
    </row>
    <row r="40" spans="1:24" ht="15.95" customHeight="1">
      <c r="A40" s="696"/>
      <c r="B40" s="696"/>
      <c r="C40" s="10"/>
      <c r="D40" s="9"/>
      <c r="E40" s="9"/>
      <c r="F40" s="9"/>
      <c r="G40" s="9"/>
      <c r="H40" s="9"/>
      <c r="I40" s="9"/>
      <c r="J40" s="9"/>
      <c r="K40" s="9"/>
      <c r="L40" s="9"/>
      <c r="M40" s="9"/>
      <c r="N40" s="9"/>
      <c r="O40" s="9"/>
      <c r="P40" s="8"/>
      <c r="Q40" s="696"/>
      <c r="R40" s="696"/>
      <c r="S40" s="696"/>
      <c r="T40" s="696"/>
      <c r="U40" s="696"/>
      <c r="V40" s="696"/>
      <c r="W40" s="696"/>
      <c r="X40" s="696"/>
    </row>
    <row r="41" spans="1:24" ht="15.95" customHeight="1">
      <c r="A41" s="696"/>
      <c r="B41" s="696"/>
      <c r="C41" s="7"/>
      <c r="D41" s="6"/>
      <c r="E41" s="6"/>
      <c r="F41" s="6"/>
      <c r="G41" s="6"/>
      <c r="H41" s="6"/>
      <c r="I41" s="6"/>
      <c r="J41" s="6"/>
      <c r="K41" s="6"/>
      <c r="L41" s="6"/>
      <c r="M41" s="6"/>
      <c r="N41" s="6"/>
      <c r="O41" s="6"/>
      <c r="P41" s="5"/>
      <c r="Q41" s="696"/>
      <c r="R41" s="696"/>
      <c r="S41" s="696"/>
      <c r="T41" s="696"/>
      <c r="U41" s="696"/>
      <c r="V41" s="696"/>
      <c r="W41" s="696"/>
      <c r="X41" s="696"/>
    </row>
    <row r="42" spans="1:24" ht="15">
      <c r="A42" s="696"/>
      <c r="B42" s="696"/>
      <c r="C42" s="696"/>
      <c r="D42" s="696"/>
      <c r="E42" s="696"/>
      <c r="F42" s="696"/>
      <c r="G42" s="696"/>
      <c r="H42" s="696"/>
      <c r="I42" s="696"/>
      <c r="J42" s="696"/>
      <c r="K42" s="696"/>
      <c r="L42" s="696"/>
      <c r="M42" s="696"/>
      <c r="N42" s="696"/>
      <c r="O42" s="696"/>
      <c r="P42" s="696"/>
      <c r="Q42" s="696"/>
      <c r="R42" s="696"/>
      <c r="S42" s="696"/>
      <c r="T42" s="696"/>
      <c r="U42" s="696"/>
      <c r="V42" s="696"/>
      <c r="W42" s="696"/>
      <c r="X42" s="696"/>
    </row>
    <row r="43" spans="1:24" ht="15">
      <c r="A43" s="696"/>
      <c r="B43" s="696"/>
      <c r="C43" s="696"/>
      <c r="D43" s="696"/>
      <c r="E43" s="696"/>
      <c r="F43" s="696"/>
      <c r="G43" s="696"/>
      <c r="H43" s="696"/>
      <c r="I43" s="696"/>
      <c r="J43" s="696"/>
      <c r="K43" s="696"/>
      <c r="L43" s="696"/>
      <c r="M43" s="696"/>
      <c r="N43" s="696"/>
      <c r="O43" s="696"/>
      <c r="P43" s="696"/>
      <c r="Q43" s="696"/>
      <c r="R43" s="696"/>
      <c r="S43" s="696"/>
      <c r="T43" s="696"/>
      <c r="U43" s="696"/>
      <c r="V43" s="696"/>
      <c r="W43" s="696"/>
      <c r="X43" s="696"/>
    </row>
    <row r="44" spans="1:24" ht="15">
      <c r="A44" s="696"/>
      <c r="B44" s="696"/>
      <c r="C44" s="696"/>
      <c r="D44" s="696"/>
      <c r="E44" s="696"/>
      <c r="F44" s="696"/>
      <c r="G44" s="696"/>
      <c r="H44" s="696"/>
      <c r="I44" s="696"/>
      <c r="J44" s="696"/>
      <c r="K44" s="696"/>
      <c r="L44" s="696"/>
      <c r="M44" s="696"/>
      <c r="N44" s="696"/>
      <c r="O44" s="696"/>
      <c r="P44" s="696"/>
      <c r="Q44" s="696"/>
      <c r="R44" s="696"/>
      <c r="S44" s="696"/>
      <c r="T44" s="696"/>
      <c r="U44" s="696"/>
      <c r="V44" s="696"/>
      <c r="W44" s="696"/>
      <c r="X44" s="696"/>
    </row>
    <row r="45" spans="1:24" ht="15">
      <c r="A45" s="696"/>
      <c r="B45" s="696"/>
      <c r="C45" s="696"/>
      <c r="D45" s="696"/>
      <c r="E45" s="696"/>
      <c r="F45" s="696"/>
      <c r="G45" s="696"/>
      <c r="H45" s="696"/>
      <c r="I45" s="696"/>
      <c r="J45" s="696"/>
      <c r="K45" s="696"/>
      <c r="L45" s="696"/>
      <c r="M45" s="696"/>
      <c r="N45" s="696"/>
      <c r="O45" s="696"/>
      <c r="P45" s="696"/>
      <c r="Q45" s="696"/>
      <c r="R45" s="696"/>
      <c r="S45" s="696"/>
      <c r="T45" s="696"/>
      <c r="U45" s="696"/>
      <c r="V45" s="696"/>
      <c r="W45" s="696"/>
      <c r="X45" s="696"/>
    </row>
    <row r="46" spans="1:24" ht="15">
      <c r="A46" s="696"/>
      <c r="B46" s="696"/>
      <c r="C46" s="696"/>
      <c r="D46" s="696"/>
      <c r="E46" s="696"/>
      <c r="F46" s="696"/>
      <c r="G46" s="696"/>
      <c r="H46" s="696"/>
      <c r="I46" s="696"/>
      <c r="J46" s="696"/>
      <c r="K46" s="696"/>
      <c r="L46" s="696"/>
      <c r="M46" s="696"/>
      <c r="N46" s="696"/>
      <c r="O46" s="696"/>
      <c r="P46" s="696"/>
      <c r="Q46" s="696"/>
      <c r="R46" s="696"/>
      <c r="S46" s="696"/>
      <c r="T46" s="696"/>
      <c r="U46" s="696"/>
      <c r="V46" s="696"/>
      <c r="W46" s="696"/>
      <c r="X46" s="696"/>
    </row>
    <row r="47" spans="1:24" ht="15">
      <c r="A47" s="696"/>
      <c r="B47" s="696"/>
      <c r="C47" s="696"/>
      <c r="D47" s="696"/>
      <c r="E47" s="696"/>
      <c r="F47" s="696"/>
      <c r="G47" s="696"/>
      <c r="H47" s="696"/>
      <c r="I47" s="696"/>
      <c r="J47" s="696"/>
      <c r="K47" s="696"/>
      <c r="L47" s="696"/>
      <c r="M47" s="696"/>
      <c r="N47" s="696"/>
      <c r="O47" s="696"/>
      <c r="P47" s="696"/>
      <c r="Q47" s="696"/>
      <c r="R47" s="696"/>
      <c r="S47" s="696"/>
      <c r="T47" s="696"/>
      <c r="U47" s="696"/>
      <c r="V47" s="696"/>
      <c r="W47" s="696"/>
      <c r="X47" s="696"/>
    </row>
    <row r="48" spans="1:24" ht="15">
      <c r="A48" s="696"/>
      <c r="B48" s="696"/>
      <c r="C48" s="696"/>
      <c r="D48" s="696"/>
      <c r="E48" s="696"/>
      <c r="F48" s="696"/>
      <c r="G48" s="696"/>
      <c r="H48" s="696"/>
      <c r="I48" s="696"/>
      <c r="J48" s="696"/>
      <c r="K48" s="696"/>
      <c r="L48" s="696"/>
      <c r="M48" s="696"/>
      <c r="N48" s="696"/>
      <c r="O48" s="696"/>
      <c r="P48" s="696"/>
      <c r="Q48" s="696"/>
      <c r="R48" s="696"/>
      <c r="S48" s="696"/>
      <c r="T48" s="696"/>
      <c r="U48" s="696"/>
      <c r="V48" s="696"/>
      <c r="W48" s="696"/>
      <c r="X48" s="696"/>
    </row>
    <row r="49" spans="1:24" ht="15">
      <c r="A49" s="696"/>
      <c r="B49" s="696"/>
      <c r="C49" s="696"/>
      <c r="D49" s="696"/>
      <c r="E49" s="696"/>
      <c r="F49" s="696"/>
      <c r="G49" s="696"/>
      <c r="H49" s="696"/>
      <c r="I49" s="696"/>
      <c r="J49" s="696"/>
      <c r="K49" s="696"/>
      <c r="L49" s="696"/>
      <c r="M49" s="696"/>
      <c r="N49" s="696"/>
      <c r="O49" s="696"/>
      <c r="P49" s="696"/>
      <c r="Q49" s="696"/>
      <c r="R49" s="696"/>
      <c r="S49" s="696"/>
      <c r="T49" s="696"/>
      <c r="U49" s="696"/>
      <c r="V49" s="696"/>
      <c r="W49" s="696"/>
      <c r="X49" s="696"/>
    </row>
    <row r="50" spans="1:24" ht="15">
      <c r="A50" s="696"/>
      <c r="B50" s="696"/>
      <c r="C50" s="696"/>
      <c r="D50" s="696"/>
      <c r="E50" s="696"/>
      <c r="F50" s="696"/>
      <c r="G50" s="696"/>
      <c r="H50" s="696"/>
      <c r="I50" s="696"/>
      <c r="J50" s="696"/>
      <c r="K50" s="696"/>
      <c r="L50" s="696"/>
      <c r="M50" s="696"/>
      <c r="N50" s="696"/>
      <c r="O50" s="696"/>
      <c r="P50" s="696"/>
      <c r="Q50" s="696"/>
      <c r="R50" s="696"/>
      <c r="S50" s="696"/>
      <c r="T50" s="696"/>
      <c r="U50" s="696"/>
      <c r="V50" s="696"/>
      <c r="W50" s="696"/>
      <c r="X50" s="696"/>
    </row>
    <row r="51" spans="1:24" ht="15">
      <c r="A51" s="696"/>
      <c r="B51" s="696"/>
      <c r="C51" s="696"/>
      <c r="D51" s="696"/>
      <c r="E51" s="696"/>
      <c r="F51" s="696"/>
      <c r="G51" s="696"/>
      <c r="H51" s="696"/>
      <c r="I51" s="696"/>
      <c r="J51" s="696"/>
      <c r="K51" s="696"/>
      <c r="L51" s="696"/>
      <c r="M51" s="696"/>
      <c r="N51" s="696"/>
      <c r="O51" s="696"/>
      <c r="P51" s="696"/>
      <c r="Q51" s="696"/>
      <c r="R51" s="696"/>
      <c r="S51" s="696"/>
      <c r="T51" s="696"/>
      <c r="U51" s="696"/>
      <c r="V51" s="696"/>
      <c r="W51" s="696"/>
      <c r="X51" s="696"/>
    </row>
    <row r="52" spans="1:24" ht="15">
      <c r="A52" s="696"/>
      <c r="B52" s="696"/>
      <c r="C52" s="696"/>
      <c r="D52" s="696"/>
      <c r="E52" s="696"/>
      <c r="F52" s="696"/>
      <c r="G52" s="696"/>
      <c r="H52" s="696"/>
      <c r="I52" s="696"/>
      <c r="J52" s="696"/>
      <c r="K52" s="696"/>
      <c r="L52" s="696"/>
      <c r="M52" s="696"/>
      <c r="N52" s="696"/>
      <c r="O52" s="696"/>
      <c r="P52" s="696"/>
      <c r="Q52" s="696"/>
      <c r="R52" s="696"/>
      <c r="S52" s="696"/>
      <c r="T52" s="696"/>
      <c r="U52" s="696"/>
      <c r="V52" s="696"/>
      <c r="W52" s="696"/>
      <c r="X52" s="696"/>
    </row>
    <row r="53" spans="1:24" ht="15">
      <c r="A53" s="696"/>
      <c r="B53" s="696"/>
      <c r="C53" s="696"/>
      <c r="D53" s="696"/>
      <c r="E53" s="696"/>
      <c r="F53" s="696"/>
      <c r="G53" s="696"/>
      <c r="H53" s="696"/>
      <c r="I53" s="696"/>
      <c r="J53" s="696"/>
      <c r="K53" s="696"/>
      <c r="L53" s="696"/>
      <c r="M53" s="696"/>
      <c r="N53" s="696"/>
      <c r="O53" s="696"/>
      <c r="P53" s="696"/>
      <c r="Q53" s="696"/>
      <c r="R53" s="696"/>
      <c r="S53" s="696"/>
      <c r="T53" s="696"/>
      <c r="U53" s="696"/>
      <c r="V53" s="696"/>
      <c r="W53" s="696"/>
      <c r="X53" s="696"/>
    </row>
    <row r="54" spans="1:24" ht="15">
      <c r="A54" s="696"/>
      <c r="B54" s="696"/>
      <c r="C54" s="696"/>
      <c r="D54" s="696"/>
      <c r="E54" s="696"/>
      <c r="F54" s="696"/>
      <c r="G54" s="696"/>
      <c r="H54" s="696"/>
      <c r="I54" s="696"/>
      <c r="J54" s="696"/>
      <c r="K54" s="696"/>
      <c r="L54" s="696"/>
      <c r="M54" s="696"/>
      <c r="N54" s="696"/>
      <c r="O54" s="696"/>
      <c r="P54" s="696"/>
      <c r="Q54" s="696"/>
      <c r="R54" s="696"/>
      <c r="S54" s="696"/>
      <c r="T54" s="696"/>
      <c r="U54" s="696"/>
      <c r="V54" s="696"/>
      <c r="W54" s="696"/>
      <c r="X54" s="696"/>
    </row>
    <row r="55" spans="1:24" ht="15">
      <c r="A55" s="696"/>
      <c r="B55" s="696"/>
      <c r="C55" s="696"/>
      <c r="D55" s="696"/>
      <c r="E55" s="696"/>
      <c r="F55" s="696"/>
      <c r="G55" s="696"/>
      <c r="H55" s="696"/>
      <c r="I55" s="696"/>
      <c r="J55" s="696"/>
      <c r="K55" s="696"/>
      <c r="L55" s="696"/>
      <c r="M55" s="696"/>
      <c r="N55" s="696"/>
      <c r="O55" s="696"/>
      <c r="P55" s="696"/>
      <c r="Q55" s="696"/>
      <c r="R55" s="696"/>
      <c r="S55" s="696"/>
      <c r="T55" s="696"/>
      <c r="U55" s="696"/>
      <c r="V55" s="696"/>
      <c r="W55" s="696"/>
      <c r="X55" s="696"/>
    </row>
    <row r="56" spans="1:24" ht="15">
      <c r="A56" s="696"/>
      <c r="B56" s="696"/>
      <c r="C56" s="696"/>
      <c r="D56" s="696"/>
      <c r="E56" s="696"/>
      <c r="F56" s="696"/>
      <c r="G56" s="696"/>
      <c r="H56" s="696"/>
      <c r="I56" s="696"/>
      <c r="J56" s="696"/>
      <c r="K56" s="696"/>
      <c r="L56" s="696"/>
      <c r="M56" s="696"/>
      <c r="N56" s="696"/>
      <c r="O56" s="696"/>
      <c r="P56" s="696"/>
      <c r="Q56" s="696"/>
      <c r="R56" s="696"/>
      <c r="S56" s="696"/>
      <c r="T56" s="696"/>
      <c r="U56" s="696"/>
      <c r="V56" s="696"/>
      <c r="W56" s="696"/>
      <c r="X56" s="696"/>
    </row>
    <row r="57" spans="1:24" ht="15">
      <c r="A57" s="696"/>
      <c r="B57" s="696"/>
      <c r="C57" s="696"/>
      <c r="D57" s="696"/>
      <c r="E57" s="696"/>
      <c r="F57" s="696"/>
      <c r="G57" s="696"/>
      <c r="H57" s="696"/>
      <c r="I57" s="696"/>
      <c r="J57" s="696"/>
      <c r="K57" s="696"/>
      <c r="L57" s="696"/>
      <c r="M57" s="696"/>
      <c r="N57" s="696"/>
      <c r="O57" s="696"/>
      <c r="P57" s="696"/>
      <c r="Q57" s="696"/>
      <c r="R57" s="696"/>
      <c r="S57" s="696"/>
      <c r="T57" s="696"/>
      <c r="U57" s="696"/>
      <c r="V57" s="696"/>
      <c r="W57" s="696"/>
      <c r="X57" s="696"/>
    </row>
  </sheetData>
  <mergeCells count="4">
    <mergeCell ref="F8:K8"/>
    <mergeCell ref="C22:P41"/>
    <mergeCell ref="M13:P20"/>
    <mergeCell ref="M7:O7"/>
  </mergeCells>
  <conditionalFormatting sqref="C20:H20">
    <cfRule type="expression" priority="16" dxfId="10">
      <formula>AND(FP.RealTimeToggle="ON",MO.RealTime="ON")</formula>
    </cfRule>
  </conditionalFormatting>
  <dataValidations count="3">
    <dataValidation type="list" allowBlank="1" showInputMessage="1" showErrorMessage="1" sqref="H18">
      <formula1>"ON, OFF"</formula1>
    </dataValidation>
    <dataValidation allowBlank="1" showInputMessage="1" showErrorMessage="1" sqref="H16"/>
    <dataValidation type="list" allowBlank="1" showInputMessage="1" showErrorMessage="1" sqref="H15">
      <formula1>"Bloomberg, Capital IQ, FactSet, Refinitiv"</formula1>
    </dataValidation>
  </dataValidations>
  <hyperlinks>
    <hyperlink ref="M7" r:id="rId1" tooltip="Click to directly email Canalyst support" display="support@tegus.com"/>
    <hyperlink ref="M7:O7" r:id="rId2" tooltip="Click to directly email Canalyst support" display="support@tegus.com"/>
    <hyperlink ref="M10" r:id="rId3" display="Tegus Excel Add-in"/>
  </hyperlinks>
  <pageMargins left="0.7" right="0.7" top="0.75" bottom="0.75" header="0.3" footer="0.3"/>
  <pageSetup orientation="portrait" paperSize="1" scale="45"/>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B55BBE3E-75D6-4DD6-AC38-F341C933F735}">
  <sheetPr codeName="Sheet2">
    <pageSetUpPr fitToPage="1"/>
  </sheetPr>
  <dimension ref="A1:BS843"/>
  <sheetViews>
    <sheetView showGridLines="0" zoomScale="85" zoomScaleNormal="85" workbookViewId="0" topLeftCell="A1">
      <pane xSplit="2" ySplit="5" topLeftCell="AZ6" activePane="bottomRight" state="frozen"/>
      <selection pane="topLeft" activeCell="A1" sqref="A1"/>
      <selection pane="bottomLeft" activeCell="A6" sqref="A6"/>
      <selection pane="topRight" activeCell="C1" sqref="C1"/>
      <selection pane="bottomRight" activeCell="A1" sqref="A1"/>
    </sheetView>
  </sheetViews>
  <sheetFormatPr defaultColWidth="9.144285714285713" defaultRowHeight="15" outlineLevelRow="2" outlineLevelCol="1"/>
  <cols>
    <col min="1" max="1" width="50.714285714285715" style="37" customWidth="1"/>
    <col min="2" max="7" width="10.714285714285714" style="37" customWidth="1"/>
    <col min="8" max="11" width="10.714285714285714" style="37" hidden="1" customWidth="1" outlineLevel="1"/>
    <col min="12" max="12" width="10.714285714285714" style="37" customWidth="1" collapsed="1"/>
    <col min="13" max="16" width="10.714285714285714" style="37" hidden="1" customWidth="1" outlineLevel="1"/>
    <col min="17" max="17" width="10.714285714285714" style="37" customWidth="1" collapsed="1"/>
    <col min="18" max="21" width="10.714285714285714" style="37" hidden="1" customWidth="1" outlineLevel="1"/>
    <col min="22" max="22" width="10.714285714285714" style="37" customWidth="1" collapsed="1"/>
    <col min="23" max="26" width="10.714285714285714" style="37" hidden="1" customWidth="1" outlineLevel="1"/>
    <col min="27" max="27" width="10.714285714285714" style="37" customWidth="1" collapsed="1"/>
    <col min="28" max="31" width="10.714285714285714" style="37" hidden="1" customWidth="1" outlineLevel="1"/>
    <col min="32" max="32" width="10.714285714285714" style="37" customWidth="1" collapsed="1"/>
    <col min="33" max="36" width="10.714285714285714" style="37" hidden="1" customWidth="1" outlineLevel="1"/>
    <col min="37" max="37" width="10.714285714285714" style="37" customWidth="1" collapsed="1"/>
    <col min="38" max="41" width="10.714285714285714" style="37" hidden="1" customWidth="1" outlineLevel="1"/>
    <col min="42" max="42" width="10.714285714285714" style="37" customWidth="1" collapsed="1"/>
    <col min="43" max="46" width="10.714285714285714" style="37" hidden="1" customWidth="1" outlineLevel="1"/>
    <col min="47" max="47" width="10.714285714285714" style="37" customWidth="1" collapsed="1"/>
    <col min="48" max="51" width="10.714285714285714" style="37" hidden="1" customWidth="1" outlineLevel="1"/>
    <col min="52" max="52" width="10.714285714285714" style="37" customWidth="1" collapsed="1"/>
    <col min="53" max="56" width="10.714285714285714" style="37" customWidth="1" outlineLevel="1"/>
    <col min="57" max="57" width="10.714285714285714" style="37" customWidth="1"/>
    <col min="58" max="61" width="10.714285714285714" style="37" customWidth="1" outlineLevel="1"/>
    <col min="62" max="62" width="10.714285714285714" style="37" customWidth="1"/>
    <col min="63" max="66" width="10.714285714285714" style="37" customWidth="1" outlineLevel="1"/>
    <col min="67" max="70" width="10.714285714285714" style="37" customWidth="1"/>
    <col min="71" max="71" width="8.857142857142858" style="37" customWidth="1"/>
    <col min="72" max="74" width="9.142857142857142" style="37" customWidth="1"/>
    <col min="75" max="16384" width="9.142857142857142" style="37"/>
  </cols>
  <sheetData>
    <row r="1" spans="1:71" s="24" customFormat="1" ht="28.5">
      <c r="A1" s="132" t="s">
        <v>10</v>
      </c>
      <c r="B1" s="828"/>
      <c r="C1" s="828"/>
      <c r="D1" s="828"/>
      <c r="E1" s="828"/>
      <c r="F1" s="828"/>
      <c r="G1" s="828"/>
      <c r="H1" s="828"/>
      <c r="I1" s="828"/>
      <c r="J1" s="828"/>
      <c r="K1" s="828"/>
      <c r="L1" s="828"/>
      <c r="M1" s="828"/>
      <c r="N1" s="828"/>
      <c r="O1" s="828"/>
      <c r="P1" s="828"/>
      <c r="Q1" s="828"/>
      <c r="R1" s="828"/>
      <c r="S1" s="828"/>
      <c r="T1" s="828"/>
      <c r="U1" s="828"/>
      <c r="V1" s="828"/>
      <c r="W1" s="828"/>
      <c r="X1" s="828"/>
      <c r="Y1" s="828"/>
      <c r="Z1" s="828"/>
      <c r="AA1" s="828"/>
      <c r="AB1" s="828"/>
      <c r="AC1" s="828"/>
      <c r="AD1" s="828"/>
      <c r="AE1" s="828"/>
      <c r="AF1" s="828"/>
      <c r="AG1" s="828"/>
      <c r="AH1" s="828"/>
      <c r="AI1" s="828"/>
      <c r="AJ1" s="828"/>
      <c r="AK1" s="828"/>
      <c r="AL1" s="828"/>
      <c r="AM1" s="828"/>
      <c r="AN1" s="828"/>
      <c r="AO1" s="828"/>
      <c r="AP1" s="828"/>
      <c r="AQ1" s="828"/>
      <c r="AR1" s="828"/>
      <c r="AS1" s="828"/>
      <c r="AT1" s="828"/>
      <c r="AU1" s="828"/>
      <c r="AV1" s="828"/>
      <c r="AW1" s="828"/>
      <c r="AX1" s="828"/>
      <c r="AY1" s="828"/>
      <c r="AZ1" s="828"/>
      <c r="BA1" s="828"/>
      <c r="BB1" s="828"/>
      <c r="BC1" s="828"/>
      <c r="BD1" s="828"/>
      <c r="BE1" s="828"/>
      <c r="BF1" s="828"/>
      <c r="BG1" s="828"/>
      <c r="BH1" s="829"/>
      <c r="BI1" s="828"/>
      <c r="BJ1" s="828"/>
      <c r="BK1" s="828"/>
      <c r="BL1" s="828"/>
      <c r="BM1" s="828"/>
      <c r="BN1" s="828"/>
      <c r="BO1" s="828"/>
      <c r="BP1" s="828"/>
      <c r="BQ1" s="828"/>
      <c r="BR1" s="828"/>
      <c r="BS1" s="833"/>
    </row>
    <row r="2" spans="1:71" s="38" customFormat="1" ht="15">
      <c r="A2" s="424" t="str">
        <f>CHOOSE(MO.DataSourceIndex,MO.Ticker.Bloomberg,MO.Ticker.CapIQ,MO.Ticker.FactSet,MO.Ticker.Thomson)</f>
        <v>TRV US</v>
      </c>
      <c r="B2" s="431"/>
      <c r="C2" s="257">
        <f>EOMONTH(C4,-12)</f>
        <v>39813</v>
      </c>
      <c r="D2" s="432"/>
      <c r="E2" s="432"/>
      <c r="F2" s="432"/>
      <c r="G2" s="432"/>
      <c r="H2" s="432"/>
      <c r="I2" s="432"/>
      <c r="J2" s="432"/>
      <c r="K2" s="432"/>
      <c r="L2" s="432"/>
      <c r="M2" s="432"/>
      <c r="N2" s="432"/>
      <c r="O2" s="432"/>
      <c r="P2" s="432"/>
      <c r="Q2" s="432"/>
      <c r="R2" s="432"/>
      <c r="S2" s="432"/>
      <c r="T2" s="432"/>
      <c r="U2" s="432"/>
      <c r="V2" s="432"/>
      <c r="W2" s="432"/>
      <c r="X2" s="432"/>
      <c r="Y2" s="432"/>
      <c r="Z2" s="432"/>
      <c r="AA2" s="432"/>
      <c r="AB2" s="432"/>
      <c r="AC2" s="432"/>
      <c r="AD2" s="432"/>
      <c r="AE2" s="432"/>
      <c r="AF2" s="432"/>
      <c r="AG2" s="432"/>
      <c r="AH2" s="432"/>
      <c r="AI2" s="432"/>
      <c r="AJ2" s="432"/>
      <c r="AK2" s="432"/>
      <c r="AL2" s="432"/>
      <c r="AM2" s="432"/>
      <c r="AN2" s="432"/>
      <c r="AO2" s="432"/>
      <c r="AP2" s="432"/>
      <c r="AQ2" s="432"/>
      <c r="AR2" s="432"/>
      <c r="AS2" s="432"/>
      <c r="AT2" s="432"/>
      <c r="AU2" s="432"/>
      <c r="AV2" s="432"/>
      <c r="AW2" s="432"/>
      <c r="AX2" s="432"/>
      <c r="AY2" s="432"/>
      <c r="AZ2" s="432"/>
      <c r="BA2" s="432"/>
      <c r="BB2" s="432"/>
      <c r="BC2" s="432"/>
      <c r="BD2" s="432"/>
      <c r="BE2" s="432"/>
      <c r="BF2" s="432"/>
      <c r="BG2" s="432"/>
      <c r="BH2" s="552"/>
      <c r="BI2" s="432"/>
      <c r="BJ2" s="432"/>
      <c r="BK2" s="432"/>
      <c r="BL2" s="432"/>
      <c r="BM2" s="432"/>
      <c r="BN2" s="432"/>
      <c r="BO2" s="432"/>
      <c r="BP2" s="432"/>
      <c r="BQ2" s="432"/>
      <c r="BR2" s="432"/>
      <c r="BS2" s="268"/>
    </row>
    <row r="3" spans="1:71" s="26" customFormat="1" ht="15">
      <c r="A3" s="425" t="str">
        <f ca="1">HP.TradeCurrency</f>
        <v>USD</v>
      </c>
      <c r="B3" s="426">
        <f ca="1">IF(MO.RealTime="OFF",MO.LastPriceHardcoded,MO.LastPriceFormula)</f>
        <v>242.95</v>
      </c>
      <c r="C3" s="974">
        <f>C4-C2</f>
        <v>365</v>
      </c>
      <c r="D3" s="974">
        <f t="shared" si="0" ref="D3:K3">D4-C4</f>
        <v>365</v>
      </c>
      <c r="E3" s="974">
        <f t="shared" si="0"/>
        <v>365</v>
      </c>
      <c r="F3" s="974">
        <f t="shared" si="0"/>
        <v>366</v>
      </c>
      <c r="G3" s="974">
        <f t="shared" si="0"/>
        <v>365</v>
      </c>
      <c r="H3" s="36">
        <f t="shared" si="0"/>
        <v>90</v>
      </c>
      <c r="I3" s="36">
        <f t="shared" si="0"/>
        <v>91</v>
      </c>
      <c r="J3" s="36">
        <f t="shared" si="0"/>
        <v>92</v>
      </c>
      <c r="K3" s="36">
        <f t="shared" si="0"/>
        <v>92</v>
      </c>
      <c r="L3" s="974">
        <f>L4-G4</f>
        <v>365</v>
      </c>
      <c r="M3" s="36">
        <f>M4-L4</f>
        <v>90</v>
      </c>
      <c r="N3" s="36">
        <f>N4-M4</f>
        <v>91</v>
      </c>
      <c r="O3" s="36">
        <f>O4-N4</f>
        <v>92</v>
      </c>
      <c r="P3" s="36">
        <f>P4-O4</f>
        <v>92</v>
      </c>
      <c r="Q3" s="974">
        <f>Q4-L4</f>
        <v>365</v>
      </c>
      <c r="R3" s="36">
        <f>R4-Q4</f>
        <v>91</v>
      </c>
      <c r="S3" s="36">
        <f>S4-R4</f>
        <v>91</v>
      </c>
      <c r="T3" s="36">
        <f>T4-S4</f>
        <v>92</v>
      </c>
      <c r="U3" s="36">
        <f>U4-T4</f>
        <v>92</v>
      </c>
      <c r="V3" s="974">
        <f>V4-Q4</f>
        <v>366</v>
      </c>
      <c r="W3" s="36">
        <f>W4-V4</f>
        <v>90</v>
      </c>
      <c r="X3" s="36">
        <f>X4-W4</f>
        <v>91</v>
      </c>
      <c r="Y3" s="36">
        <f>Y4-X4</f>
        <v>92</v>
      </c>
      <c r="Z3" s="36">
        <f>Z4-Y4</f>
        <v>92</v>
      </c>
      <c r="AA3" s="974">
        <f>AA4-V4</f>
        <v>365</v>
      </c>
      <c r="AB3" s="36">
        <f>AB4-AA4</f>
        <v>90</v>
      </c>
      <c r="AC3" s="36">
        <f>AC4-AB4</f>
        <v>91</v>
      </c>
      <c r="AD3" s="36">
        <f>AD4-AC4</f>
        <v>92</v>
      </c>
      <c r="AE3" s="36">
        <f>AE4-AD4</f>
        <v>92</v>
      </c>
      <c r="AF3" s="974">
        <f>AF4-AA4</f>
        <v>365</v>
      </c>
      <c r="AG3" s="36">
        <f>AG4-AF4</f>
        <v>90</v>
      </c>
      <c r="AH3" s="36">
        <f>AH4-AG4</f>
        <v>91</v>
      </c>
      <c r="AI3" s="36">
        <f>AI4-AH4</f>
        <v>92</v>
      </c>
      <c r="AJ3" s="36">
        <f>AJ4-AI4</f>
        <v>92</v>
      </c>
      <c r="AK3" s="974">
        <f>AK4-AF4</f>
        <v>365</v>
      </c>
      <c r="AL3" s="36">
        <f>AL4-AK4</f>
        <v>91</v>
      </c>
      <c r="AM3" s="36">
        <f>AM4-AL4</f>
        <v>91</v>
      </c>
      <c r="AN3" s="36">
        <f>AN4-AM4</f>
        <v>92</v>
      </c>
      <c r="AO3" s="36">
        <f>AO4-AN4</f>
        <v>92</v>
      </c>
      <c r="AP3" s="974">
        <f>AP4-AK4</f>
        <v>366</v>
      </c>
      <c r="AQ3" s="36">
        <f>AQ4-AP4</f>
        <v>90</v>
      </c>
      <c r="AR3" s="36">
        <f>AR4-AQ4</f>
        <v>91</v>
      </c>
      <c r="AS3" s="36">
        <f>AS4-AR4</f>
        <v>92</v>
      </c>
      <c r="AT3" s="36">
        <f>AT4-AS4</f>
        <v>92</v>
      </c>
      <c r="AU3" s="974">
        <f>AU4-AP4</f>
        <v>365</v>
      </c>
      <c r="AV3" s="36">
        <f>AV4-AU4</f>
        <v>90</v>
      </c>
      <c r="AW3" s="36">
        <f>AW4-AV4</f>
        <v>91</v>
      </c>
      <c r="AX3" s="36">
        <f>AX4-AW4</f>
        <v>92</v>
      </c>
      <c r="AY3" s="36">
        <f>AY4-AX4</f>
        <v>92</v>
      </c>
      <c r="AZ3" s="974">
        <f>AZ4-AU4</f>
        <v>365</v>
      </c>
      <c r="BA3" s="36">
        <f>BA4-AZ4</f>
        <v>90</v>
      </c>
      <c r="BB3" s="36">
        <f>BB4-BA4</f>
        <v>91</v>
      </c>
      <c r="BC3" s="36">
        <f>BC4-BB4</f>
        <v>92</v>
      </c>
      <c r="BD3" s="36">
        <f>BD4-BC4</f>
        <v>92</v>
      </c>
      <c r="BE3" s="974">
        <f>BE4-AZ4</f>
        <v>365</v>
      </c>
      <c r="BF3" s="36">
        <f>BF4-BE4</f>
        <v>91</v>
      </c>
      <c r="BG3" s="36">
        <f>BG4-BF4</f>
        <v>91</v>
      </c>
      <c r="BH3" s="739">
        <f>BH4-BG4</f>
        <v>92</v>
      </c>
      <c r="BI3" s="644">
        <f>BI4-BH4</f>
        <v>92</v>
      </c>
      <c r="BJ3" s="975">
        <f>BJ4-BE4</f>
        <v>366</v>
      </c>
      <c r="BK3" s="644">
        <f>BK4-BJ4</f>
        <v>90</v>
      </c>
      <c r="BL3" s="644">
        <f>BL4-BK4</f>
        <v>91</v>
      </c>
      <c r="BM3" s="644">
        <f>BM4-BL4</f>
        <v>92</v>
      </c>
      <c r="BN3" s="644">
        <f>BN4-BM4</f>
        <v>92</v>
      </c>
      <c r="BO3" s="975">
        <f>BO4-BJ4</f>
        <v>365</v>
      </c>
      <c r="BP3" s="975">
        <f>BP4-BO4</f>
        <v>365</v>
      </c>
      <c r="BQ3" s="975">
        <f>BQ4-BP4</f>
        <v>365</v>
      </c>
      <c r="BR3" s="975">
        <f>BR4-BQ4</f>
        <v>366</v>
      </c>
      <c r="BS3" s="427"/>
    </row>
    <row r="4" spans="1:71" ht="15">
      <c r="A4" s="428" t="str">
        <f>FP.DataSourceName</f>
        <v>Bloomberg</v>
      </c>
      <c r="B4" s="321" t="str">
        <f ca="1">IF(AND(MO.RealTimeStockPriceToggle,MO.LastPriceFormula&lt;&gt;"N/A"),"ON","OFF")</f>
        <v>OFF</v>
      </c>
      <c r="C4" s="976">
        <v>40178</v>
      </c>
      <c r="D4" s="977">
        <f>EOMONTH(C4,12)</f>
        <v>40543</v>
      </c>
      <c r="E4" s="977">
        <f>EOMONTH(D4,12)</f>
        <v>40908</v>
      </c>
      <c r="F4" s="977">
        <f>EOMONTH(E4,12)</f>
        <v>41274</v>
      </c>
      <c r="G4" s="977">
        <f>EOMONTH(F4,12)</f>
        <v>41639</v>
      </c>
      <c r="H4" s="645">
        <f>EOMONTH(G4,3)</f>
        <v>41729</v>
      </c>
      <c r="I4" s="645">
        <f>EOMONTH(H4,3)</f>
        <v>41820</v>
      </c>
      <c r="J4" s="645">
        <f>EOMONTH(I4,3)</f>
        <v>41912</v>
      </c>
      <c r="K4" s="645">
        <f>EOMONTH(J4,3)</f>
        <v>42004</v>
      </c>
      <c r="L4" s="977">
        <f>K4</f>
        <v>42004</v>
      </c>
      <c r="M4" s="645">
        <f>EOMONTH(L4,3)</f>
        <v>42094</v>
      </c>
      <c r="N4" s="645">
        <f>EOMONTH(M4,3)</f>
        <v>42185</v>
      </c>
      <c r="O4" s="645">
        <f>EOMONTH(N4,3)</f>
        <v>42277</v>
      </c>
      <c r="P4" s="645">
        <f>EOMONTH(O4,3)</f>
        <v>42369</v>
      </c>
      <c r="Q4" s="977">
        <f>P4</f>
        <v>42369</v>
      </c>
      <c r="R4" s="645">
        <f>EOMONTH(Q4,3)</f>
        <v>42460</v>
      </c>
      <c r="S4" s="112">
        <f>EOMONTH(R4,3)</f>
        <v>42551</v>
      </c>
      <c r="T4" s="645">
        <f>EOMONTH(S4,3)</f>
        <v>42643</v>
      </c>
      <c r="U4" s="645">
        <f>EOMONTH(T4,3)</f>
        <v>42735</v>
      </c>
      <c r="V4" s="977">
        <f>U4</f>
        <v>42735</v>
      </c>
      <c r="W4" s="645">
        <f>EOMONTH(V4,3)</f>
        <v>42825</v>
      </c>
      <c r="X4" s="112">
        <f>EOMONTH(W4,3)</f>
        <v>42916</v>
      </c>
      <c r="Y4" s="645">
        <f>EOMONTH(X4,3)</f>
        <v>43008</v>
      </c>
      <c r="Z4" s="112">
        <f>EOMONTH(Y4,3)</f>
        <v>43100</v>
      </c>
      <c r="AA4" s="978">
        <f>Z4</f>
        <v>43100</v>
      </c>
      <c r="AB4" s="645">
        <f>EOMONTH(AA4,3)</f>
        <v>43190</v>
      </c>
      <c r="AC4" s="112">
        <f>EOMONTH(AB4,3)</f>
        <v>43281</v>
      </c>
      <c r="AD4" s="645">
        <f>EOMONTH(AC4,3)</f>
        <v>43373</v>
      </c>
      <c r="AE4" s="112">
        <f>EOMONTH(AD4,3)</f>
        <v>43465</v>
      </c>
      <c r="AF4" s="978">
        <f>AE4</f>
        <v>43465</v>
      </c>
      <c r="AG4" s="645">
        <f>EOMONTH(AF4,3)</f>
        <v>43555</v>
      </c>
      <c r="AH4" s="112">
        <f>EOMONTH(AG4,3)</f>
        <v>43646</v>
      </c>
      <c r="AI4" s="645">
        <f>EOMONTH(AH4,3)</f>
        <v>43738</v>
      </c>
      <c r="AJ4" s="112">
        <f>EOMONTH(AI4,3)</f>
        <v>43830</v>
      </c>
      <c r="AK4" s="978">
        <f>AJ4</f>
        <v>43830</v>
      </c>
      <c r="AL4" s="645">
        <f>EOMONTH(AK4,3)</f>
        <v>43921</v>
      </c>
      <c r="AM4" s="112">
        <f>EOMONTH(AL4,3)</f>
        <v>44012</v>
      </c>
      <c r="AN4" s="645">
        <f>EOMONTH(AM4,3)</f>
        <v>44104</v>
      </c>
      <c r="AO4" s="112">
        <f>EOMONTH(AN4,3)</f>
        <v>44196</v>
      </c>
      <c r="AP4" s="978">
        <f>AO4</f>
        <v>44196</v>
      </c>
      <c r="AQ4" s="645">
        <f>EOMONTH(AP4,3)</f>
        <v>44286</v>
      </c>
      <c r="AR4" s="112">
        <f>EOMONTH(AQ4,3)</f>
        <v>44377</v>
      </c>
      <c r="AS4" s="645">
        <f>EOMONTH(AR4,3)</f>
        <v>44469</v>
      </c>
      <c r="AT4" s="112">
        <f>EOMONTH(AS4,3)</f>
        <v>44561</v>
      </c>
      <c r="AU4" s="978">
        <f>AT4</f>
        <v>44561</v>
      </c>
      <c r="AV4" s="645">
        <f>EOMONTH(AU4,3)</f>
        <v>44651</v>
      </c>
      <c r="AW4" s="112">
        <f>EOMONTH(AV4,3)</f>
        <v>44742</v>
      </c>
      <c r="AX4" s="645">
        <f>EOMONTH(AW4,3)</f>
        <v>44834</v>
      </c>
      <c r="AY4" s="112">
        <f>EOMONTH(AX4,3)</f>
        <v>44926</v>
      </c>
      <c r="AZ4" s="978">
        <f>AY4</f>
        <v>44926</v>
      </c>
      <c r="BA4" s="645">
        <f>EOMONTH(AZ4,3)</f>
        <v>45016</v>
      </c>
      <c r="BB4" s="112">
        <f>EOMONTH(BA4,3)</f>
        <v>45107</v>
      </c>
      <c r="BC4" s="645">
        <f>EOMONTH(BB4,3)</f>
        <v>45199</v>
      </c>
      <c r="BD4" s="112">
        <f>EOMONTH(BC4,3)</f>
        <v>45291</v>
      </c>
      <c r="BE4" s="978">
        <f>BD4</f>
        <v>45291</v>
      </c>
      <c r="BF4" s="645">
        <f>EOMONTH(BE4,3)</f>
        <v>45382</v>
      </c>
      <c r="BG4" s="112">
        <f>EOMONTH(BF4,3)</f>
        <v>45473</v>
      </c>
      <c r="BH4" s="904">
        <f>EOMONTH(BG4,3)</f>
        <v>45565</v>
      </c>
      <c r="BI4" s="645">
        <f>EOMONTH(BH4,3)</f>
        <v>45657</v>
      </c>
      <c r="BJ4" s="977">
        <f>EOMONTH(BE4,12)</f>
        <v>45657</v>
      </c>
      <c r="BK4" s="645">
        <f>EOMONTH(BJ4,3)</f>
        <v>45747</v>
      </c>
      <c r="BL4" s="645">
        <f>EOMONTH(BK4,3)</f>
        <v>45838</v>
      </c>
      <c r="BM4" s="645">
        <f>EOMONTH(BL4,3)</f>
        <v>45930</v>
      </c>
      <c r="BN4" s="645">
        <f>EOMONTH(BM4,3)</f>
        <v>46022</v>
      </c>
      <c r="BO4" s="977">
        <f>EOMONTH(BJ4,12)</f>
        <v>46022</v>
      </c>
      <c r="BP4" s="977">
        <f>EOMONTH(BO4,12)</f>
        <v>46387</v>
      </c>
      <c r="BQ4" s="977">
        <f>EOMONTH(BP4,12)</f>
        <v>46752</v>
      </c>
      <c r="BR4" s="977">
        <f>EOMONTH(BQ4,12)</f>
        <v>47118</v>
      </c>
      <c r="BS4" s="262"/>
    </row>
    <row r="5" spans="1:71" s="38" customFormat="1" ht="15">
      <c r="A5" s="73" t="str">
        <f>MO.ReportCurrency</f>
        <v>USD</v>
      </c>
      <c r="B5" s="433"/>
      <c r="C5" s="979" t="s">
        <v>12</v>
      </c>
      <c r="D5" s="980" t="str">
        <f>CONCATENATE("FY",RIGHT(C5,4)+1)</f>
        <v>FY2010</v>
      </c>
      <c r="E5" s="980" t="str">
        <f>CONCATENATE("FY",RIGHT(D5,4)+1)</f>
        <v>FY2011</v>
      </c>
      <c r="F5" s="980" t="str">
        <f>CONCATENATE("FY",RIGHT(E5,4)+1)</f>
        <v>FY2012</v>
      </c>
      <c r="G5" s="980" t="str">
        <f>CONCATENATE("FY",RIGHT(F5,4)+1)</f>
        <v>FY2013</v>
      </c>
      <c r="H5" s="646" t="str">
        <f>CONCATENATE("Q1","-",RIGHT(G5,4)+1)</f>
        <v>Q1-2014</v>
      </c>
      <c r="I5" s="646" t="str">
        <f>CONCATENATE("Q2","-",RIGHT(H5,4))</f>
        <v>Q2-2014</v>
      </c>
      <c r="J5" s="646" t="str">
        <f>CONCATENATE("Q3","-",RIGHT(I5,4))</f>
        <v>Q3-2014</v>
      </c>
      <c r="K5" s="646" t="str">
        <f>CONCATENATE("Q4","-",RIGHT(J5,4))</f>
        <v>Q4-2014</v>
      </c>
      <c r="L5" s="980" t="str">
        <f>CONCATENATE("FY",RIGHT(G5,4)+1)</f>
        <v>FY2014</v>
      </c>
      <c r="M5" s="646" t="str">
        <f>CONCATENATE("Q1","-",RIGHT(L5,4)+1)</f>
        <v>Q1-2015</v>
      </c>
      <c r="N5" s="646" t="str">
        <f>CONCATENATE("Q2","-",RIGHT(M5,4))</f>
        <v>Q2-2015</v>
      </c>
      <c r="O5" s="646" t="str">
        <f>CONCATENATE("Q3","-",RIGHT(N5,4))</f>
        <v>Q3-2015</v>
      </c>
      <c r="P5" s="646" t="str">
        <f>CONCATENATE("Q4","-",RIGHT(O5,4))</f>
        <v>Q4-2015</v>
      </c>
      <c r="Q5" s="980" t="str">
        <f>CONCATENATE("FY",RIGHT(L5,4)+1)</f>
        <v>FY2015</v>
      </c>
      <c r="R5" s="646" t="str">
        <f>CONCATENATE("Q1","-",RIGHT(Q5,4)+1)</f>
        <v>Q1-2016</v>
      </c>
      <c r="S5" s="47" t="str">
        <f>CONCATENATE("Q2","-",RIGHT(R5,4))</f>
        <v>Q2-2016</v>
      </c>
      <c r="T5" s="646" t="str">
        <f>CONCATENATE("Q3","-",RIGHT(S5,4))</f>
        <v>Q3-2016</v>
      </c>
      <c r="U5" s="646" t="str">
        <f>CONCATENATE("Q4","-",RIGHT(T5,4))</f>
        <v>Q4-2016</v>
      </c>
      <c r="V5" s="980" t="str">
        <f>CONCATENATE("FY",RIGHT(Q5,4)+1)</f>
        <v>FY2016</v>
      </c>
      <c r="W5" s="646" t="str">
        <f>CONCATENATE("Q1","-",RIGHT(V5,4)+1)</f>
        <v>Q1-2017</v>
      </c>
      <c r="X5" s="47" t="str">
        <f>CONCATENATE("Q2","-",RIGHT(W5,4))</f>
        <v>Q2-2017</v>
      </c>
      <c r="Y5" s="646" t="str">
        <f>CONCATENATE("Q3","-",RIGHT(X5,4))</f>
        <v>Q3-2017</v>
      </c>
      <c r="Z5" s="47" t="str">
        <f>CONCATENATE("Q4","-",RIGHT(Y5,4))</f>
        <v>Q4-2017</v>
      </c>
      <c r="AA5" s="981" t="str">
        <f>CONCATENATE("FY",RIGHT(V5,4)+1)</f>
        <v>FY2017</v>
      </c>
      <c r="AB5" s="646" t="str">
        <f>CONCATENATE("Q1","-",RIGHT(AA5,4)+1)</f>
        <v>Q1-2018</v>
      </c>
      <c r="AC5" s="47" t="str">
        <f>CONCATENATE("Q2","-",RIGHT(AB5,4))</f>
        <v>Q2-2018</v>
      </c>
      <c r="AD5" s="646" t="str">
        <f>CONCATENATE("Q3","-",RIGHT(AC5,4))</f>
        <v>Q3-2018</v>
      </c>
      <c r="AE5" s="47" t="str">
        <f>CONCATENATE("Q4","-",RIGHT(AD5,4))</f>
        <v>Q4-2018</v>
      </c>
      <c r="AF5" s="981" t="str">
        <f>CONCATENATE("FY",RIGHT(AA5,4)+1)</f>
        <v>FY2018</v>
      </c>
      <c r="AG5" s="646" t="str">
        <f>CONCATENATE("Q1","-",RIGHT(AF5,4)+1)</f>
        <v>Q1-2019</v>
      </c>
      <c r="AH5" s="47" t="str">
        <f>CONCATENATE("Q2","-",RIGHT(AG5,4))</f>
        <v>Q2-2019</v>
      </c>
      <c r="AI5" s="646" t="str">
        <f>CONCATENATE("Q3","-",RIGHT(AH5,4))</f>
        <v>Q3-2019</v>
      </c>
      <c r="AJ5" s="47" t="str">
        <f>CONCATENATE("Q4","-",RIGHT(AI5,4))</f>
        <v>Q4-2019</v>
      </c>
      <c r="AK5" s="981" t="str">
        <f>CONCATENATE("FY",RIGHT(AF5,4)+1)</f>
        <v>FY2019</v>
      </c>
      <c r="AL5" s="646" t="str">
        <f>CONCATENATE("Q1","-",RIGHT(AK5,4)+1)</f>
        <v>Q1-2020</v>
      </c>
      <c r="AM5" s="47" t="str">
        <f>CONCATENATE("Q2","-",RIGHT(AL5,4))</f>
        <v>Q2-2020</v>
      </c>
      <c r="AN5" s="646" t="str">
        <f>CONCATENATE("Q3","-",RIGHT(AM5,4))</f>
        <v>Q3-2020</v>
      </c>
      <c r="AO5" s="47" t="str">
        <f>CONCATENATE("Q4","-",RIGHT(AN5,4))</f>
        <v>Q4-2020</v>
      </c>
      <c r="AP5" s="981" t="str">
        <f>CONCATENATE("FY",RIGHT(AK5,4)+1)</f>
        <v>FY2020</v>
      </c>
      <c r="AQ5" s="646" t="str">
        <f>CONCATENATE("Q1","-",RIGHT(AP5,4)+1)</f>
        <v>Q1-2021</v>
      </c>
      <c r="AR5" s="47" t="str">
        <f>CONCATENATE("Q2","-",RIGHT(AQ5,4))</f>
        <v>Q2-2021</v>
      </c>
      <c r="AS5" s="646" t="str">
        <f>CONCATENATE("Q3","-",RIGHT(AR5,4))</f>
        <v>Q3-2021</v>
      </c>
      <c r="AT5" s="47" t="str">
        <f>CONCATENATE("Q4","-",RIGHT(AS5,4))</f>
        <v>Q4-2021</v>
      </c>
      <c r="AU5" s="981" t="str">
        <f>CONCATENATE("FY",RIGHT(AP5,4)+1)</f>
        <v>FY2021</v>
      </c>
      <c r="AV5" s="646" t="str">
        <f>CONCATENATE("Q1","-",RIGHT(AU5,4)+1)</f>
        <v>Q1-2022</v>
      </c>
      <c r="AW5" s="47" t="str">
        <f>CONCATENATE("Q2","-",RIGHT(AV5,4))</f>
        <v>Q2-2022</v>
      </c>
      <c r="AX5" s="646" t="str">
        <f>CONCATENATE("Q3","-",RIGHT(AW5,4))</f>
        <v>Q3-2022</v>
      </c>
      <c r="AY5" s="47" t="str">
        <f>CONCATENATE("Q4","-",RIGHT(AX5,4))</f>
        <v>Q4-2022</v>
      </c>
      <c r="AZ5" s="981" t="str">
        <f>CONCATENATE("FY",RIGHT(AU5,4)+1)</f>
        <v>FY2022</v>
      </c>
      <c r="BA5" s="646" t="str">
        <f>CONCATENATE("Q1","-",RIGHT(AZ5,4)+1)</f>
        <v>Q1-2023</v>
      </c>
      <c r="BB5" s="47" t="str">
        <f>CONCATENATE("Q2","-",RIGHT(BA5,4))</f>
        <v>Q2-2023</v>
      </c>
      <c r="BC5" s="646" t="str">
        <f>CONCATENATE("Q3","-",RIGHT(BB5,4))</f>
        <v>Q3-2023</v>
      </c>
      <c r="BD5" s="47" t="str">
        <f>CONCATENATE("Q4","-",RIGHT(BC5,4))</f>
        <v>Q4-2023</v>
      </c>
      <c r="BE5" s="981" t="str">
        <f>CONCATENATE("FY",RIGHT(AZ5,4)+1)</f>
        <v>FY2023</v>
      </c>
      <c r="BF5" s="646" t="str">
        <f>CONCATENATE("Q1","-",RIGHT(BE5,4)+1)</f>
        <v>Q1-2024</v>
      </c>
      <c r="BG5" s="47" t="str">
        <f>CONCATENATE("Q2","-",RIGHT(BF5,4))</f>
        <v>Q2-2024</v>
      </c>
      <c r="BH5" s="906" t="str">
        <f>CONCATENATE("Q3","-",RIGHT(BG5,4))</f>
        <v>Q3-2024</v>
      </c>
      <c r="BI5" s="646" t="str">
        <f>CONCATENATE("Q4","-",RIGHT(BH5,4))</f>
        <v>Q4-2024</v>
      </c>
      <c r="BJ5" s="980" t="str">
        <f>CONCATENATE("FY",RIGHT(BE5,4)+1)</f>
        <v>FY2024</v>
      </c>
      <c r="BK5" s="646" t="str">
        <f>CONCATENATE("Q1","-",RIGHT(BJ5,4)+1)</f>
        <v>Q1-2025</v>
      </c>
      <c r="BL5" s="646" t="str">
        <f>CONCATENATE("Q2","-",RIGHT(BK5,4))</f>
        <v>Q2-2025</v>
      </c>
      <c r="BM5" s="646" t="str">
        <f>CONCATENATE("Q3","-",RIGHT(BL5,4))</f>
        <v>Q3-2025</v>
      </c>
      <c r="BN5" s="646" t="str">
        <f>CONCATENATE("Q4","-",RIGHT(BM5,4))</f>
        <v>Q4-2025</v>
      </c>
      <c r="BO5" s="980" t="str">
        <f>CONCATENATE("FY",RIGHT(BJ5,4)+1)</f>
        <v>FY2025</v>
      </c>
      <c r="BP5" s="980" t="str">
        <f>CONCATENATE("FY",RIGHT(BO5,4)+1)</f>
        <v>FY2026</v>
      </c>
      <c r="BQ5" s="980" t="str">
        <f>CONCATENATE("FY",RIGHT(BP5,4)+1)</f>
        <v>FY2027</v>
      </c>
      <c r="BR5" s="980" t="str">
        <f>CONCATENATE("FY",RIGHT(BQ5,4)+1)</f>
        <v>FY2028</v>
      </c>
      <c r="BS5" s="268"/>
    </row>
    <row r="6" spans="1:71" s="28" customFormat="1" ht="15">
      <c r="A6" s="49" t="s">
        <v>13</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659"/>
      <c r="BI6" s="49"/>
      <c r="BJ6" s="49"/>
      <c r="BK6" s="49"/>
      <c r="BL6" s="49"/>
      <c r="BM6" s="49"/>
      <c r="BN6" s="49"/>
      <c r="BO6" s="49"/>
      <c r="BP6" s="49"/>
      <c r="BQ6" s="49"/>
      <c r="BR6" s="49"/>
      <c r="BS6" s="43"/>
    </row>
    <row r="7" spans="1:71" s="27" customFormat="1" ht="15">
      <c r="A7" s="41" t="s">
        <v>14</v>
      </c>
      <c r="B7" s="434"/>
      <c r="C7" s="982"/>
      <c r="D7" s="983">
        <f t="shared" si="1" ref="D7:G10">D15/C15-1</f>
        <v>-0.017110266159695797</v>
      </c>
      <c r="E7" s="983">
        <f t="shared" si="1"/>
        <v>0.044319233033386585</v>
      </c>
      <c r="F7" s="983">
        <f t="shared" si="1"/>
        <v>0.055806087936865811</v>
      </c>
      <c r="G7" s="983">
        <f t="shared" si="1"/>
        <v>0.14346731751963993</v>
      </c>
      <c r="H7" s="435"/>
      <c r="I7" s="435"/>
      <c r="J7" s="435"/>
      <c r="K7" s="435"/>
      <c r="L7" s="983">
        <f t="shared" si="2" ref="L7:U10">L15/G15-1</f>
        <v>0.081109925293489926</v>
      </c>
      <c r="M7" s="71">
        <f t="shared" si="2"/>
        <v>0.012310606060605966</v>
      </c>
      <c r="N7" s="71">
        <f t="shared" si="2"/>
        <v>-0.0098352594049667674</v>
      </c>
      <c r="O7" s="71">
        <f t="shared" si="2"/>
        <v>-0.018733053980773962</v>
      </c>
      <c r="P7" s="71">
        <f t="shared" si="2"/>
        <v>-0.019948186528497391</v>
      </c>
      <c r="Q7" s="983">
        <f t="shared" si="2"/>
        <v>-0.0086994076999012959</v>
      </c>
      <c r="R7" s="71">
        <f t="shared" si="2"/>
        <v>-0.018007483629560284</v>
      </c>
      <c r="S7" s="71">
        <f t="shared" si="2"/>
        <v>-0.061335982120685362</v>
      </c>
      <c r="T7" s="71">
        <f t="shared" si="2"/>
        <v>-0.057523235367997971</v>
      </c>
      <c r="U7" s="71">
        <f t="shared" si="2"/>
        <v>-0.074544012688342542</v>
      </c>
      <c r="V7" s="983">
        <f t="shared" si="3" ref="V7:AE10">V15/Q15-1</f>
        <v>-0.051969876143648452</v>
      </c>
      <c r="W7" s="71">
        <f t="shared" si="3"/>
        <v>0.017146939747558987</v>
      </c>
      <c r="X7" s="71">
        <f t="shared" si="3"/>
        <v>0.0037037037037037646</v>
      </c>
      <c r="Y7" s="71">
        <f t="shared" si="3"/>
        <v>0.0093283582089551675</v>
      </c>
      <c r="Z7" s="71">
        <f t="shared" si="3"/>
        <v>0.034275921165381362</v>
      </c>
      <c r="AA7" s="983">
        <f t="shared" si="3"/>
        <v>0.015821953781512521</v>
      </c>
      <c r="AB7" s="71">
        <f t="shared" si="3"/>
        <v>0.046827440880355953</v>
      </c>
      <c r="AC7" s="71">
        <f t="shared" si="3"/>
        <v>0.064312071692145478</v>
      </c>
      <c r="AD7" s="71">
        <f t="shared" si="3"/>
        <v>0.054132558753630766</v>
      </c>
      <c r="AE7" s="71">
        <f t="shared" si="3"/>
        <v>0.036730185031759177</v>
      </c>
      <c r="AF7" s="983">
        <f t="shared" si="4" ref="AF7:AQ10">AF15/AA15-1</f>
        <v>0.050539649712402213</v>
      </c>
      <c r="AG7" s="71">
        <f t="shared" si="4"/>
        <v>0.057928874972042133</v>
      </c>
      <c r="AH7" s="71">
        <f t="shared" si="4"/>
        <v>0.038385339276869823</v>
      </c>
      <c r="AI7" s="71">
        <f t="shared" si="4"/>
        <v>0.069889779559118237</v>
      </c>
      <c r="AJ7" s="71">
        <f t="shared" si="4"/>
        <v>0.054075652637187055</v>
      </c>
      <c r="AK7" s="983">
        <f t="shared" si="4"/>
        <v>0.05512150107659175</v>
      </c>
      <c r="AL7" s="71">
        <f t="shared" si="4"/>
        <v>0.013530655391120527</v>
      </c>
      <c r="AM7" s="71">
        <f t="shared" si="4"/>
        <v>-0.015740519914142603</v>
      </c>
      <c r="AN7" s="71">
        <f>AN15/AI15-1</f>
        <v>-0.009599625380472987</v>
      </c>
      <c r="AO7" s="71">
        <f t="shared" si="4"/>
        <v>-0.012130401819560266</v>
      </c>
      <c r="AP7" s="983">
        <f t="shared" si="4"/>
        <v>-0.005305813072124077</v>
      </c>
      <c r="AQ7" s="71">
        <f t="shared" si="4"/>
        <v>-0.003754693366708417</v>
      </c>
      <c r="AR7" s="71">
        <f t="shared" si="5" ref="AR7:AS10">AR15/AM15-1</f>
        <v>0.055488248122122608</v>
      </c>
      <c r="AS7" s="71">
        <f t="shared" si="5"/>
        <v>0.052718676122931463</v>
      </c>
      <c r="AT7" s="71">
        <f t="shared" si="6" ref="AT7:AU10">AT15/AO15-1</f>
        <v>0.085699667434126381</v>
      </c>
      <c r="AU7" s="983">
        <f t="shared" si="6"/>
        <v>0.045076201641266023</v>
      </c>
      <c r="AV7" s="71">
        <f t="shared" si="7" ref="AV7:AW10">AV15/AQ15-1</f>
        <v>0.077889447236180853</v>
      </c>
      <c r="AW7" s="71">
        <f t="shared" si="7"/>
        <v>0.098714416896235058</v>
      </c>
      <c r="AX7" s="71">
        <f t="shared" si="8" ref="AX7:AZ10">AX15/AS15-1</f>
        <v>0.092297327644284666</v>
      </c>
      <c r="AY7" s="71">
        <f t="shared" si="8"/>
        <v>0.11286522148916123</v>
      </c>
      <c r="AZ7" s="983">
        <f t="shared" si="8"/>
        <v>0.094901564866229249</v>
      </c>
      <c r="BA7" s="71">
        <f t="shared" si="9" ref="BA7:BB10">BA15/AV15-1</f>
        <v>0.13209013209013198</v>
      </c>
      <c r="BB7" s="71">
        <f t="shared" si="9"/>
        <v>0.18303384872544926</v>
      </c>
      <c r="BC7" s="71">
        <f t="shared" si="10" ref="BC7:BE10">BC15/AX15-1</f>
        <v>0.16879111842105265</v>
      </c>
      <c r="BD7" s="71">
        <f t="shared" si="10"/>
        <v>0.14207071776413294</v>
      </c>
      <c r="BE7" s="983">
        <f t="shared" si="10"/>
        <v>0.15613954203165825</v>
      </c>
      <c r="BF7" s="71">
        <f t="shared" si="11" ref="BF7:BG10">BF15/BA15-1</f>
        <v>0.095229924502402197</v>
      </c>
      <c r="BG7" s="71">
        <f t="shared" si="11"/>
        <v>0.089544330625220825</v>
      </c>
      <c r="BH7" s="740">
        <f>BH15/BC15-1</f>
        <v>0.085839929639401902</v>
      </c>
      <c r="BI7" s="907">
        <v>0.03</v>
      </c>
      <c r="BJ7" s="982">
        <f>BJ15/BE15-1</f>
        <v>0.075848287473968767</v>
      </c>
      <c r="BK7" s="907">
        <v>0.03</v>
      </c>
      <c r="BL7" s="907">
        <v>0.03</v>
      </c>
      <c r="BM7" s="907">
        <v>0.03</v>
      </c>
      <c r="BN7" s="907">
        <v>0.03</v>
      </c>
      <c r="BO7" s="982">
        <f>BO15/BJ15-1</f>
        <v>0.030000000000000027</v>
      </c>
      <c r="BP7" s="984">
        <v>0.014999999999999902</v>
      </c>
      <c r="BQ7" s="984">
        <v>0.014999999999999902</v>
      </c>
      <c r="BR7" s="984">
        <v>0.014999999999999902</v>
      </c>
      <c r="BS7" s="71"/>
    </row>
    <row r="8" spans="1:71" s="27" customFormat="1" ht="15">
      <c r="A8" s="41" t="s">
        <v>15</v>
      </c>
      <c r="B8" s="434"/>
      <c r="C8" s="982"/>
      <c r="D8" s="983">
        <f t="shared" si="1"/>
        <v>-0.04820899542149204</v>
      </c>
      <c r="E8" s="983">
        <f t="shared" si="1"/>
        <v>-0.035653650254668934</v>
      </c>
      <c r="F8" s="983">
        <f t="shared" si="1"/>
        <v>-0.039025821596244126</v>
      </c>
      <c r="G8" s="983">
        <f t="shared" si="1"/>
        <v>-0.34931297709923659</v>
      </c>
      <c r="H8" s="435"/>
      <c r="I8" s="435"/>
      <c r="J8" s="435"/>
      <c r="K8" s="435"/>
      <c r="L8" s="983">
        <f t="shared" si="2"/>
        <v>0.015954950727357975</v>
      </c>
      <c r="M8" s="71">
        <f t="shared" si="2"/>
        <v>-0.011363636363636354</v>
      </c>
      <c r="N8" s="71">
        <f t="shared" si="2"/>
        <v>-0.0092250922509224953</v>
      </c>
      <c r="O8" s="71">
        <f t="shared" si="2"/>
        <v>0.032028469750889688</v>
      </c>
      <c r="P8" s="71">
        <f t="shared" si="2"/>
        <v>-0.03564727954971858</v>
      </c>
      <c r="Q8" s="983">
        <f t="shared" si="2"/>
        <v>-0.0055427251732101945</v>
      </c>
      <c r="R8" s="71">
        <f t="shared" si="2"/>
        <v>0.1053639846743295</v>
      </c>
      <c r="S8" s="71">
        <f t="shared" si="2"/>
        <v>0.096834264432029693</v>
      </c>
      <c r="T8" s="71">
        <f t="shared" si="2"/>
        <v>0.065517241379310365</v>
      </c>
      <c r="U8" s="71">
        <f t="shared" si="2"/>
        <v>0.14396887159533067</v>
      </c>
      <c r="V8" s="983">
        <f t="shared" si="3"/>
        <v>0.10171853228053873</v>
      </c>
      <c r="W8" s="71">
        <f t="shared" si="3"/>
        <v>0.041594454072790388</v>
      </c>
      <c r="X8" s="71">
        <f t="shared" si="3"/>
        <v>0.052631578947368363</v>
      </c>
      <c r="Y8" s="71">
        <f t="shared" si="3"/>
        <v>0.02265372168284796</v>
      </c>
      <c r="Z8" s="71">
        <f t="shared" si="3"/>
        <v>0.066326530612244916</v>
      </c>
      <c r="AA8" s="983">
        <f t="shared" si="3"/>
        <v>0.045531197301855064</v>
      </c>
      <c r="AB8" s="71">
        <f t="shared" si="3"/>
        <v>0.061564059900166335</v>
      </c>
      <c r="AC8" s="71">
        <f t="shared" si="3"/>
        <v>0.087096774193548443</v>
      </c>
      <c r="AD8" s="71">
        <f t="shared" si="3"/>
        <v>0.064873417721518889</v>
      </c>
      <c r="AE8" s="71">
        <f t="shared" si="3"/>
        <v>0.084529505582137121</v>
      </c>
      <c r="AF8" s="983">
        <f t="shared" si="4"/>
        <v>0.074596774193548487</v>
      </c>
      <c r="AG8" s="71">
        <f t="shared" si="4"/>
        <v>0.037617554858934144</v>
      </c>
      <c r="AH8" s="71">
        <f t="shared" si="4"/>
        <v>0.10830860534124631</v>
      </c>
      <c r="AI8" s="71">
        <f t="shared" si="4"/>
        <v>0.14413075780089146</v>
      </c>
      <c r="AJ8" s="71">
        <f t="shared" si="4"/>
        <v>0.10588235294117654</v>
      </c>
      <c r="AK8" s="983">
        <f t="shared" si="4"/>
        <v>0.099812382739212113</v>
      </c>
      <c r="AL8" s="71">
        <f t="shared" si="4"/>
        <v>0.13293051359516617</v>
      </c>
      <c r="AM8" s="71">
        <f t="shared" si="4"/>
        <v>0.030789825970548801</v>
      </c>
      <c r="AN8" s="71">
        <f>AN16/AI16-1</f>
        <v>0.042857142857142927</v>
      </c>
      <c r="AO8" s="71">
        <f t="shared" si="4"/>
        <v>0.14494680851063824</v>
      </c>
      <c r="AP8" s="983">
        <f t="shared" si="4"/>
        <v>0.086318662572500759</v>
      </c>
      <c r="AQ8" s="71">
        <f t="shared" si="4"/>
        <v>0.1120000000000001</v>
      </c>
      <c r="AR8" s="71">
        <f t="shared" si="5"/>
        <v>0.1935064935064934</v>
      </c>
      <c r="AS8" s="71">
        <f t="shared" si="5"/>
        <v>0.22540473225404734</v>
      </c>
      <c r="AT8" s="71">
        <f t="shared" si="6"/>
        <v>0.14750290360046447</v>
      </c>
      <c r="AU8" s="983">
        <f t="shared" si="6"/>
        <v>0.16991206030150763</v>
      </c>
      <c r="AV8" s="71">
        <f t="shared" si="7"/>
        <v>0.20983213429256597</v>
      </c>
      <c r="AW8" s="71">
        <f t="shared" si="7"/>
        <v>0.1273122959738846</v>
      </c>
      <c r="AX8" s="71">
        <f t="shared" si="8"/>
        <v>0.059959349593496025</v>
      </c>
      <c r="AY8" s="71">
        <f t="shared" si="8"/>
        <v>0.0060728744939271273</v>
      </c>
      <c r="AZ8" s="983">
        <f t="shared" si="8"/>
        <v>0.095838926174496741</v>
      </c>
      <c r="BA8" s="71">
        <f t="shared" si="9"/>
        <v>0.00099108027750238747</v>
      </c>
      <c r="BB8" s="71">
        <f t="shared" si="9"/>
        <v>-0.00096525096525101883</v>
      </c>
      <c r="BC8" s="71">
        <f t="shared" si="10"/>
        <v>0.037392138063278901</v>
      </c>
      <c r="BD8" s="71">
        <f t="shared" si="10"/>
        <v>0.066398390342052416</v>
      </c>
      <c r="BE8" s="983">
        <f t="shared" si="10"/>
        <v>0.025722684958353836</v>
      </c>
      <c r="BF8" s="71">
        <f t="shared" si="11"/>
        <v>0.065346534653465405</v>
      </c>
      <c r="BG8" s="71">
        <f t="shared" si="11"/>
        <v>0.088888888888888795</v>
      </c>
      <c r="BH8" s="740">
        <f>BH16/BC16-1</f>
        <v>0.076709796672828068</v>
      </c>
      <c r="BI8" s="907">
        <v>0.03</v>
      </c>
      <c r="BJ8" s="982">
        <f>BJ16/BE16-1</f>
        <v>0.065154048244566498</v>
      </c>
      <c r="BK8" s="907">
        <v>0.03</v>
      </c>
      <c r="BL8" s="907">
        <v>0.03</v>
      </c>
      <c r="BM8" s="907">
        <v>0.03</v>
      </c>
      <c r="BN8" s="907">
        <v>0.03</v>
      </c>
      <c r="BO8" s="982">
        <f>BO16/BJ16-1</f>
        <v>0.030000000000000027</v>
      </c>
      <c r="BP8" s="984">
        <v>0.04</v>
      </c>
      <c r="BQ8" s="984">
        <v>0.04</v>
      </c>
      <c r="BR8" s="984">
        <v>0.04</v>
      </c>
      <c r="BS8" s="71"/>
    </row>
    <row r="9" spans="1:71" s="27" customFormat="1" ht="15">
      <c r="A9" s="328" t="s">
        <v>16</v>
      </c>
      <c r="B9" s="436"/>
      <c r="C9" s="985"/>
      <c r="D9" s="986">
        <f t="shared" si="1"/>
        <v>0.053920256890553908</v>
      </c>
      <c r="E9" s="986">
        <f t="shared" si="1"/>
        <v>0.023359146883331183</v>
      </c>
      <c r="F9" s="986">
        <f t="shared" si="1"/>
        <v>-0.017119464086341685</v>
      </c>
      <c r="G9" s="986">
        <f t="shared" si="1"/>
        <v>-0.049097564054019993</v>
      </c>
      <c r="H9" s="437"/>
      <c r="I9" s="437"/>
      <c r="J9" s="437"/>
      <c r="K9" s="437"/>
      <c r="L9" s="986">
        <f t="shared" si="2"/>
        <v>-0.035704804884523544</v>
      </c>
      <c r="M9" s="322">
        <f t="shared" si="2"/>
        <v>0.016373559733171561</v>
      </c>
      <c r="N9" s="322">
        <f t="shared" si="2"/>
        <v>0.03235908141962418</v>
      </c>
      <c r="O9" s="322">
        <f t="shared" si="2"/>
        <v>0.050025523226135737</v>
      </c>
      <c r="P9" s="322">
        <f t="shared" si="2"/>
        <v>0.063182079264790358</v>
      </c>
      <c r="Q9" s="986">
        <f t="shared" si="2"/>
        <v>0.040880935994494161</v>
      </c>
      <c r="R9" s="322">
        <f t="shared" si="2"/>
        <v>0.15513126491646778</v>
      </c>
      <c r="S9" s="322">
        <f t="shared" si="2"/>
        <v>0.17239635995955505</v>
      </c>
      <c r="T9" s="322">
        <f t="shared" si="2"/>
        <v>0.18035974720466696</v>
      </c>
      <c r="U9" s="322">
        <f t="shared" si="2"/>
        <v>0.19286871961102103</v>
      </c>
      <c r="V9" s="986">
        <f t="shared" si="3"/>
        <v>0.17574715683681563</v>
      </c>
      <c r="W9" s="322">
        <f t="shared" si="3"/>
        <v>0.10847107438016534</v>
      </c>
      <c r="X9" s="322">
        <f t="shared" si="3"/>
        <v>0.083656748598533781</v>
      </c>
      <c r="Y9" s="322">
        <f t="shared" si="3"/>
        <v>0.088962108731466261</v>
      </c>
      <c r="Z9" s="322">
        <f t="shared" si="3"/>
        <v>0.083333333333333259</v>
      </c>
      <c r="AA9" s="986">
        <f t="shared" si="3"/>
        <v>0.090428523225733803</v>
      </c>
      <c r="AB9" s="322">
        <f t="shared" si="3"/>
        <v>0.075955265610438083</v>
      </c>
      <c r="AC9" s="322">
        <f t="shared" si="3"/>
        <v>0.081177875049741388</v>
      </c>
      <c r="AD9" s="322">
        <f t="shared" si="3"/>
        <v>0.057866868381240444</v>
      </c>
      <c r="AE9" s="322">
        <f t="shared" si="3"/>
        <v>0.048913043478260976</v>
      </c>
      <c r="AF9" s="986">
        <f t="shared" si="4"/>
        <v>0.06570397111913362</v>
      </c>
      <c r="AG9" s="322">
        <f t="shared" si="4"/>
        <v>0.059766132524902593</v>
      </c>
      <c r="AH9" s="322">
        <f t="shared" si="4"/>
        <v>0.061464850938535154</v>
      </c>
      <c r="AI9" s="322">
        <f t="shared" si="4"/>
        <v>0.065784769395781151</v>
      </c>
      <c r="AJ9" s="322">
        <f t="shared" si="4"/>
        <v>0.06377042646472697</v>
      </c>
      <c r="AK9" s="986">
        <f t="shared" si="4"/>
        <v>0.062814556716995762</v>
      </c>
      <c r="AL9" s="322">
        <f t="shared" si="4"/>
        <v>0.065794850837760599</v>
      </c>
      <c r="AM9" s="322">
        <f t="shared" si="4"/>
        <v>-0.010402219140083213</v>
      </c>
      <c r="AN9" s="322">
        <f>AN17/AI17-1</f>
        <v>0.076819859107682076</v>
      </c>
      <c r="AO9" s="322">
        <f t="shared" si="4"/>
        <v>0.066691644810790596</v>
      </c>
      <c r="AP9" s="986">
        <f t="shared" si="4"/>
        <v>0.048993716419269751</v>
      </c>
      <c r="AQ9" s="322">
        <f t="shared" si="4"/>
        <v>0.072469325153374342</v>
      </c>
      <c r="AR9" s="322">
        <f t="shared" si="5"/>
        <v>0.1639803784162579</v>
      </c>
      <c r="AS9" s="322">
        <f t="shared" si="5"/>
        <v>0.07133956386292839</v>
      </c>
      <c r="AT9" s="322">
        <f t="shared" si="6"/>
        <v>0.10010537407797693</v>
      </c>
      <c r="AU9" s="986">
        <f t="shared" si="6"/>
        <v>0.10165813004601087</v>
      </c>
      <c r="AV9" s="322">
        <f t="shared" si="7"/>
        <v>0.11762602788702181</v>
      </c>
      <c r="AW9" s="322">
        <f t="shared" si="7"/>
        <v>0.11800120409391934</v>
      </c>
      <c r="AX9" s="322">
        <f t="shared" si="8"/>
        <v>0.13550450712416406</v>
      </c>
      <c r="AY9" s="322">
        <f t="shared" si="8"/>
        <v>0.12643678160919536</v>
      </c>
      <c r="AZ9" s="986">
        <f t="shared" si="8"/>
        <v>0.12474389282899923</v>
      </c>
      <c r="BA9" s="322">
        <f t="shared" si="9"/>
        <v>0.1225207933461292</v>
      </c>
      <c r="BB9" s="322">
        <f t="shared" si="9"/>
        <v>0.13354873451803995</v>
      </c>
      <c r="BC9" s="322">
        <f t="shared" si="10"/>
        <v>0.15134443021766963</v>
      </c>
      <c r="BD9" s="322">
        <f t="shared" si="10"/>
        <v>0.13407029478458043</v>
      </c>
      <c r="BE9" s="986">
        <f t="shared" si="10"/>
        <v>0.13613115672948917</v>
      </c>
      <c r="BF9" s="322">
        <f t="shared" si="11"/>
        <v>0.097463664861783927</v>
      </c>
      <c r="BG9" s="322">
        <f t="shared" si="11"/>
        <v>0.085273159144893196</v>
      </c>
      <c r="BH9" s="741">
        <f>BH17/BC17-1</f>
        <v>0.070062277580071219</v>
      </c>
      <c r="BI9" s="909">
        <v>0.06</v>
      </c>
      <c r="BJ9" s="985">
        <f>BJ17/BE17-1</f>
        <v>0.077458066107548129</v>
      </c>
      <c r="BK9" s="909">
        <v>0.06</v>
      </c>
      <c r="BL9" s="909">
        <v>0.06</v>
      </c>
      <c r="BM9" s="909">
        <v>0.06</v>
      </c>
      <c r="BN9" s="909">
        <v>0.06</v>
      </c>
      <c r="BO9" s="985">
        <f>BO17/BJ17-1</f>
        <v>0.060000000000000053</v>
      </c>
      <c r="BP9" s="987">
        <v>0.060000000000000053</v>
      </c>
      <c r="BQ9" s="987">
        <v>0.060000000000000053</v>
      </c>
      <c r="BR9" s="987">
        <v>0.060000000000000053</v>
      </c>
      <c r="BS9" s="71"/>
    </row>
    <row r="10" spans="1:71" s="28" customFormat="1" ht="15">
      <c r="A10" s="93" t="s">
        <v>17</v>
      </c>
      <c r="B10" s="438"/>
      <c r="C10" s="988"/>
      <c r="D10" s="989">
        <f t="shared" si="1"/>
        <v>0.00073008374490024508</v>
      </c>
      <c r="E10" s="989">
        <f t="shared" si="1"/>
        <v>0.025105141189597502</v>
      </c>
      <c r="F10" s="989">
        <f t="shared" si="1"/>
        <v>0.017666513166157305</v>
      </c>
      <c r="G10" s="989">
        <f t="shared" si="1"/>
        <v>0.014315685548562218</v>
      </c>
      <c r="H10" s="439"/>
      <c r="I10" s="439"/>
      <c r="J10" s="439"/>
      <c r="K10" s="439"/>
      <c r="L10" s="989">
        <f t="shared" si="2"/>
        <v>0.039785862027010621</v>
      </c>
      <c r="M10" s="95">
        <f t="shared" si="2"/>
        <v>0.01140446805186679</v>
      </c>
      <c r="N10" s="95">
        <f t="shared" si="2"/>
        <v>0.0026053639846743692</v>
      </c>
      <c r="O10" s="95">
        <f t="shared" si="2"/>
        <v>0.0060808756460930535</v>
      </c>
      <c r="P10" s="95">
        <f t="shared" si="2"/>
        <v>0.0022823606129769303</v>
      </c>
      <c r="Q10" s="989">
        <f t="shared" si="2"/>
        <v>0.0056166627662064261</v>
      </c>
      <c r="R10" s="95">
        <f t="shared" si="2"/>
        <v>0.036762434352795692</v>
      </c>
      <c r="S10" s="95">
        <f t="shared" si="2"/>
        <v>0.022317334148578505</v>
      </c>
      <c r="T10" s="95">
        <f t="shared" si="2"/>
        <v>0.027198549410698103</v>
      </c>
      <c r="U10" s="95">
        <f t="shared" si="2"/>
        <v>0.024235523747560217</v>
      </c>
      <c r="V10" s="989">
        <f t="shared" si="3"/>
        <v>0.027654953068031896</v>
      </c>
      <c r="W10" s="95">
        <f t="shared" si="3"/>
        <v>0.04558998808104886</v>
      </c>
      <c r="X10" s="95">
        <f t="shared" si="3"/>
        <v>0.03573564593301426</v>
      </c>
      <c r="Y10" s="95">
        <f t="shared" si="3"/>
        <v>0.038982053545160378</v>
      </c>
      <c r="Z10" s="95">
        <f t="shared" si="3"/>
        <v>0.054470382721931054</v>
      </c>
      <c r="AA10" s="989">
        <f t="shared" si="3"/>
        <v>0.043517644838648728</v>
      </c>
      <c r="AB10" s="95">
        <f t="shared" si="3"/>
        <v>0.056996295240809403</v>
      </c>
      <c r="AC10" s="95">
        <f t="shared" si="3"/>
        <v>0.072470044752418028</v>
      </c>
      <c r="AD10" s="95">
        <f t="shared" si="3"/>
        <v>0.056491575817641193</v>
      </c>
      <c r="AE10" s="95">
        <f t="shared" si="3"/>
        <v>0.045632530120481851</v>
      </c>
      <c r="AF10" s="989">
        <f t="shared" si="4"/>
        <v>0.05801504629629628</v>
      </c>
      <c r="AG10" s="95">
        <f t="shared" si="4"/>
        <v>0.056753842005931476</v>
      </c>
      <c r="AH10" s="95">
        <f t="shared" si="4"/>
        <v>0.05317000942253336</v>
      </c>
      <c r="AI10" s="95">
        <f t="shared" si="4"/>
        <v>0.075046904315196894</v>
      </c>
      <c r="AJ10" s="95">
        <f t="shared" si="4"/>
        <v>0.062653031830620876</v>
      </c>
      <c r="AK10" s="989">
        <f t="shared" si="4"/>
        <v>0.061910296731847447</v>
      </c>
      <c r="AL10" s="95">
        <f t="shared" si="4"/>
        <v>0.039928562316622118</v>
      </c>
      <c r="AM10" s="95">
        <f t="shared" si="4"/>
        <v>-0.0093302658486708046</v>
      </c>
      <c r="AN10" s="95">
        <f>AN18/AI18-1</f>
        <v>0.027549239591124319</v>
      </c>
      <c r="AO10" s="95">
        <f t="shared" si="4"/>
        <v>0.032393602602331262</v>
      </c>
      <c r="AP10" s="989">
        <f t="shared" si="4"/>
        <v>0.022534848533625196</v>
      </c>
      <c r="AQ10" s="95">
        <f t="shared" si="4"/>
        <v>0.031280667320902955</v>
      </c>
      <c r="AR10" s="95">
        <f t="shared" si="5"/>
        <v>0.10914720681202428</v>
      </c>
      <c r="AS10" s="95">
        <f t="shared" si="5"/>
        <v>0.076792429940555573</v>
      </c>
      <c r="AT10" s="95">
        <f t="shared" si="6"/>
        <v>0.098070106341079155</v>
      </c>
      <c r="AU10" s="989">
        <f t="shared" si="6"/>
        <v>0.078109750338444028</v>
      </c>
      <c r="AV10" s="95">
        <f t="shared" si="7"/>
        <v>0.10419888188414417</v>
      </c>
      <c r="AW10" s="95">
        <f t="shared" si="7"/>
        <v>0.10922414795859026</v>
      </c>
      <c r="AX10" s="95">
        <f t="shared" si="8"/>
        <v>0.10545290671473628</v>
      </c>
      <c r="AY10" s="95">
        <f t="shared" si="8"/>
        <v>0.1053323768531802</v>
      </c>
      <c r="AZ10" s="989">
        <f t="shared" si="8"/>
        <v>0.10606237589066692</v>
      </c>
      <c r="BA10" s="95">
        <f t="shared" si="9"/>
        <v>0.11461811914251863</v>
      </c>
      <c r="BB10" s="95">
        <f t="shared" si="9"/>
        <v>0.14377097315436238</v>
      </c>
      <c r="BC10" s="95">
        <f t="shared" si="10"/>
        <v>0.14788014675907046</v>
      </c>
      <c r="BD10" s="95">
        <f t="shared" si="10"/>
        <v>0.1308815575987019</v>
      </c>
      <c r="BE10" s="989">
        <f t="shared" si="10"/>
        <v>0.13454430246066118</v>
      </c>
      <c r="BF10" s="95">
        <f t="shared" si="11"/>
        <v>0.093070455204407043</v>
      </c>
      <c r="BG10" s="95">
        <f t="shared" si="11"/>
        <v>0.087833501421105797</v>
      </c>
      <c r="BH10" s="742">
        <f>BH18/BC18-1</f>
        <v>0.078664654177394988</v>
      </c>
      <c r="BI10" s="439">
        <f>BI18/BD18-1</f>
        <v>0.041480631276900937</v>
      </c>
      <c r="BJ10" s="988">
        <f>BJ18/BE18-1</f>
        <v>0.075413757795774083</v>
      </c>
      <c r="BK10" s="439">
        <f>BK18/BF18-1</f>
        <v>0.040214854111405796</v>
      </c>
      <c r="BL10" s="439">
        <f>BL18/BG18-1</f>
        <v>0.041552465233881231</v>
      </c>
      <c r="BM10" s="439">
        <f>BM18/BH18-1</f>
        <v>0.041879990122643873</v>
      </c>
      <c r="BN10" s="439">
        <f>BN18/BI18-1</f>
        <v>0.041684777218175206</v>
      </c>
      <c r="BO10" s="988">
        <f>BO18/BJ18-1</f>
        <v>0.041342380489510777</v>
      </c>
      <c r="BP10" s="988">
        <f>BP18/BO18-1</f>
        <v>0.034704771805575296</v>
      </c>
      <c r="BQ10" s="988">
        <f>BQ18/BP18-1</f>
        <v>0.035140363963417354</v>
      </c>
      <c r="BR10" s="988">
        <f>BR18/BQ18-1</f>
        <v>0.035577706054975122</v>
      </c>
      <c r="BS10" s="43"/>
    </row>
    <row r="11" spans="1:71" s="28" customFormat="1" ht="15">
      <c r="A11" s="40" t="s">
        <v>18</v>
      </c>
      <c r="B11" s="440"/>
      <c r="C11" s="990"/>
      <c r="D11" s="991">
        <f>D39/C39-1</f>
        <v>0.00065365580352971797</v>
      </c>
      <c r="E11" s="991">
        <f>E39/D39-1</f>
        <v>0.030701754385964897</v>
      </c>
      <c r="F11" s="991">
        <f>F39/E39-1</f>
        <v>0.012086917157084764</v>
      </c>
      <c r="G11" s="991">
        <f>G39/F39-1</f>
        <v>0.012524041687167253</v>
      </c>
      <c r="H11" s="441"/>
      <c r="I11" s="441"/>
      <c r="J11" s="441"/>
      <c r="K11" s="441"/>
      <c r="L11" s="991">
        <f t="shared" si="12" ref="L11:AQ11">L39/G39-1</f>
        <v>0.047532800282722887</v>
      </c>
      <c r="M11" s="39">
        <f t="shared" si="12"/>
        <v>0.011162630946247587</v>
      </c>
      <c r="N11" s="39">
        <f t="shared" si="12"/>
        <v>0.00050607287449389027</v>
      </c>
      <c r="O11" s="39">
        <f t="shared" si="12"/>
        <v>0.0081898713020223113</v>
      </c>
      <c r="P11" s="39">
        <f t="shared" si="12"/>
        <v>0.0073590901488542748</v>
      </c>
      <c r="Q11" s="991">
        <f t="shared" si="12"/>
        <v>0.0067895247332687703</v>
      </c>
      <c r="R11" s="39">
        <f t="shared" si="12"/>
        <v>0.015794836956521729</v>
      </c>
      <c r="S11" s="39">
        <f t="shared" si="12"/>
        <v>0.022930365874220149</v>
      </c>
      <c r="T11" s="39">
        <f t="shared" si="12"/>
        <v>0.029343501326259958</v>
      </c>
      <c r="U11" s="39">
        <f t="shared" si="12"/>
        <v>0.042171675244894624</v>
      </c>
      <c r="V11" s="991">
        <f t="shared" si="12"/>
        <v>0.027645136969087769</v>
      </c>
      <c r="W11" s="39">
        <f t="shared" si="12"/>
        <v>0.03377361645209831</v>
      </c>
      <c r="X11" s="39">
        <f t="shared" si="12"/>
        <v>0.046810614801384487</v>
      </c>
      <c r="Y11" s="39">
        <f t="shared" si="12"/>
        <v>0.050571750684490269</v>
      </c>
      <c r="Z11" s="39">
        <f t="shared" si="12"/>
        <v>0.055599808825872232</v>
      </c>
      <c r="AA11" s="991">
        <f t="shared" si="12"/>
        <v>0.046832966495475636</v>
      </c>
      <c r="AB11" s="39">
        <f t="shared" si="12"/>
        <v>0.057253760310528978</v>
      </c>
      <c r="AC11" s="39">
        <f t="shared" si="12"/>
        <v>0.054164698472681572</v>
      </c>
      <c r="AD11" s="39">
        <f t="shared" si="12"/>
        <v>0.055036026368235458</v>
      </c>
      <c r="AE11" s="39">
        <f t="shared" si="12"/>
        <v>0.048143676426199766</v>
      </c>
      <c r="AF11" s="991">
        <f t="shared" si="12"/>
        <v>0.053576295604096158</v>
      </c>
      <c r="AG11" s="39">
        <f t="shared" si="12"/>
        <v>0.048646167966957421</v>
      </c>
      <c r="AH11" s="39">
        <f t="shared" si="12"/>
        <v>0.043764002987303874</v>
      </c>
      <c r="AI11" s="39">
        <f t="shared" si="12"/>
        <v>0.043156059285091475</v>
      </c>
      <c r="AJ11" s="39">
        <f t="shared" si="12"/>
        <v>0.043916486681065514</v>
      </c>
      <c r="AK11" s="991">
        <f t="shared" si="12"/>
        <v>0.044827968513248884</v>
      </c>
      <c r="AL11" s="39">
        <f t="shared" si="12"/>
        <v>0.054558716265499685</v>
      </c>
      <c r="AM11" s="39">
        <f t="shared" si="12"/>
        <v>-0.0047223812249570507</v>
      </c>
      <c r="AN11" s="39">
        <f>AN39/AI39-1</f>
        <v>0.027998328458002542</v>
      </c>
      <c r="AO11" s="39">
        <f t="shared" si="12"/>
        <v>0.031724137931034457</v>
      </c>
      <c r="AP11" s="991">
        <f t="shared" si="12"/>
        <v>0.027306168647424967</v>
      </c>
      <c r="AQ11" s="39">
        <f t="shared" si="12"/>
        <v>0.021718079955733938</v>
      </c>
      <c r="AR11" s="39">
        <f t="shared" si="13" ref="AR11:AW11">AR39/AM39-1</f>
        <v>0.095039539899352876</v>
      </c>
      <c r="AS11" s="39">
        <f t="shared" si="13"/>
        <v>0.060840108401084114</v>
      </c>
      <c r="AT11" s="39">
        <f t="shared" si="13"/>
        <v>0.072727272727272751</v>
      </c>
      <c r="AU11" s="991">
        <f t="shared" si="13"/>
        <v>0.06235367029334804</v>
      </c>
      <c r="AV11" s="39">
        <f t="shared" si="13"/>
        <v>0.085025724343352316</v>
      </c>
      <c r="AW11" s="39">
        <f t="shared" si="13"/>
        <v>0.092043067226890818</v>
      </c>
      <c r="AX11" s="39">
        <f t="shared" si="14" ref="AX11:BJ11">AX39/AS39-1</f>
        <v>0.10039596372461368</v>
      </c>
      <c r="AY11" s="39">
        <f t="shared" si="14"/>
        <v>0.098828514456630101</v>
      </c>
      <c r="AZ11" s="991">
        <f t="shared" si="14"/>
        <v>0.094247285691136051</v>
      </c>
      <c r="BA11" s="39">
        <f t="shared" si="15" ref="BA11:BI11">BA39/AV39-1</f>
        <v>0.1048165710007487</v>
      </c>
      <c r="BB11" s="39">
        <f t="shared" si="15"/>
        <v>0.10809186004568949</v>
      </c>
      <c r="BC11" s="39">
        <f t="shared" si="15"/>
        <v>0.12803250145095757</v>
      </c>
      <c r="BD11" s="39">
        <f t="shared" si="15"/>
        <v>0.13111035499603041</v>
      </c>
      <c r="BE11" s="991">
        <f t="shared" si="15"/>
        <v>0.11841364807629651</v>
      </c>
      <c r="BF11" s="39">
        <f>BF39/BA39-1</f>
        <v>0.14366388073187264</v>
      </c>
      <c r="BG11" s="39">
        <f>BG39/BB39-1</f>
        <v>0.11143663194444442</v>
      </c>
      <c r="BH11" s="743">
        <f>BH39/BC39-1</f>
        <v>0.10146120600946706</v>
      </c>
      <c r="BI11" s="441">
        <f t="shared" si="15"/>
        <v>0.021708904642534721</v>
      </c>
      <c r="BJ11" s="990">
        <f t="shared" si="14"/>
        <v>0.09272802378114986</v>
      </c>
      <c r="BK11" s="441">
        <f>BK39/BF39-1</f>
        <v>0.067199242148923588</v>
      </c>
      <c r="BL11" s="441">
        <f>BL39/BG39-1</f>
        <v>0.12947794454749584</v>
      </c>
      <c r="BM11" s="441">
        <f>BM39/BH39-1</f>
        <v>0.10765244020926779</v>
      </c>
      <c r="BN11" s="441">
        <f>BN39/BI39-1</f>
        <v>0.042114456759938079</v>
      </c>
      <c r="BO11" s="990">
        <f>BO39/BJ39-1</f>
        <v>0.086958835718573102</v>
      </c>
      <c r="BP11" s="990">
        <f>BP39/BO39-1</f>
        <v>0.0046064354390591422</v>
      </c>
      <c r="BQ11" s="990">
        <f>BQ39/BP39-1</f>
        <v>0.035775655025824804</v>
      </c>
      <c r="BR11" s="990">
        <f>BR39/BQ39-1</f>
        <v>0.036216563775131938</v>
      </c>
      <c r="BS11" s="43"/>
    </row>
    <row r="12" spans="1:71" s="28" customFormat="1" ht="15">
      <c r="A12" s="40" t="s">
        <v>19</v>
      </c>
      <c r="B12" s="440"/>
      <c r="C12" s="990"/>
      <c r="D12" s="991">
        <f>D77/C77-1</f>
        <v>-0.44271948608137046</v>
      </c>
      <c r="E12" s="991">
        <f>E77/D77-1</f>
        <v>-2.5004803073967339</v>
      </c>
      <c r="F12" s="991">
        <f>F77/E77-1</f>
        <v>-1.117797695262484</v>
      </c>
      <c r="G12" s="991">
        <f>G77/F77-1</f>
        <v>8.6304347826086953</v>
      </c>
      <c r="H12" s="441"/>
      <c r="I12" s="441"/>
      <c r="J12" s="441"/>
      <c r="K12" s="441"/>
      <c r="L12" s="991">
        <f t="shared" si="16" ref="L12:AQ12">L77/G77-1</f>
        <v>0.15124153498871329</v>
      </c>
      <c r="M12" s="39">
        <f t="shared" si="16"/>
        <v>-0.26023391812865493</v>
      </c>
      <c r="N12" s="39">
        <f t="shared" si="16"/>
        <v>1.7310344827586208</v>
      </c>
      <c r="O12" s="39">
        <f t="shared" si="16"/>
        <v>0.41629955947136565</v>
      </c>
      <c r="P12" s="39">
        <f t="shared" si="16"/>
        <v>-0.13077939233817704</v>
      </c>
      <c r="Q12" s="991">
        <f t="shared" si="16"/>
        <v>0.079901960784313664</v>
      </c>
      <c r="R12" s="39">
        <f t="shared" si="16"/>
        <v>-0.38537549407114624</v>
      </c>
      <c r="S12" s="39">
        <f t="shared" si="16"/>
        <v>-0.32070707070707072</v>
      </c>
      <c r="T12" s="39">
        <f t="shared" si="16"/>
        <v>-0.54587869362363917</v>
      </c>
      <c r="U12" s="39">
        <f t="shared" si="16"/>
        <v>-0.26443768996960482</v>
      </c>
      <c r="V12" s="991">
        <f t="shared" si="16"/>
        <v>-0.38447571493418065</v>
      </c>
      <c r="W12" s="39">
        <f t="shared" si="16"/>
        <v>-0.68488745980707399</v>
      </c>
      <c r="X12" s="39">
        <f t="shared" si="16"/>
        <v>-0.78810408921933084</v>
      </c>
      <c r="Y12" s="39">
        <f t="shared" si="16"/>
        <v>-2.3013698630136989</v>
      </c>
      <c r="Z12" s="39">
        <f t="shared" si="16"/>
        <v>-0.71694214876033058</v>
      </c>
      <c r="AA12" s="991">
        <f t="shared" si="16"/>
        <v>-1.0648967551622419</v>
      </c>
      <c r="AB12" s="39">
        <f t="shared" si="16"/>
        <v>0.29591836734693877</v>
      </c>
      <c r="AC12" s="39">
        <f t="shared" si="16"/>
        <v>-1.9473684210526314</v>
      </c>
      <c r="AD12" s="39">
        <f t="shared" si="16"/>
        <v>-1.1552631578947368</v>
      </c>
      <c r="AE12" s="39">
        <f t="shared" si="16"/>
        <v>-1.0875912408759123</v>
      </c>
      <c r="AF12" s="991">
        <f t="shared" si="16"/>
        <v>-2.3636363636363633</v>
      </c>
      <c r="AG12" s="39">
        <f t="shared" si="16"/>
        <v>0.94488188976377963</v>
      </c>
      <c r="AH12" s="39">
        <f t="shared" si="16"/>
        <v>0.55555555555555558</v>
      </c>
      <c r="AI12" s="39">
        <f t="shared" si="16"/>
        <v>-6.2542372881355934</v>
      </c>
      <c r="AJ12" s="39">
        <f t="shared" si="16"/>
        <v>-30.583333333333332</v>
      </c>
      <c r="AK12" s="991">
        <f t="shared" si="16"/>
        <v>0.73333333333333339</v>
      </c>
      <c r="AL12" s="39">
        <f t="shared" si="16"/>
        <v>-0.46558704453441291</v>
      </c>
      <c r="AM12" s="39">
        <f t="shared" si="16"/>
        <v>4.2023809523809526</v>
      </c>
      <c r="AN12" s="39">
        <f>AN77/AI77-1</f>
        <v>-1.5935483870967742</v>
      </c>
      <c r="AO12" s="39">
        <f t="shared" si="16"/>
        <v>1.2281690140845072</v>
      </c>
      <c r="AP12" s="991">
        <f t="shared" si="16"/>
        <v>2.2211538461538463</v>
      </c>
      <c r="AQ12" s="39">
        <f t="shared" si="16"/>
        <v>-0.60606060606060608</v>
      </c>
      <c r="AR12" s="39">
        <f t="shared" si="17" ref="AR12:AW12">AR77/AM77-1</f>
        <v>-1.345537757437071</v>
      </c>
      <c r="AS12" s="39">
        <f t="shared" si="17"/>
        <v>-1.5163043478260869</v>
      </c>
      <c r="AT12" s="39">
        <f t="shared" si="17"/>
        <v>-0.041719342604298326</v>
      </c>
      <c r="AU12" s="991">
        <f t="shared" si="17"/>
        <v>0.29253731343283573</v>
      </c>
      <c r="AV12" s="39">
        <f t="shared" si="17"/>
        <v>8.2692307692307701</v>
      </c>
      <c r="AW12" s="39">
        <f t="shared" si="17"/>
        <v>-1.4304635761589404</v>
      </c>
      <c r="AX12" s="39">
        <f t="shared" si="18" ref="AX12:AZ12">AX77/AS77-1</f>
        <v>-0.32631578947368423</v>
      </c>
      <c r="AY12" s="39">
        <f t="shared" si="18"/>
        <v>-0.65435356200527706</v>
      </c>
      <c r="AZ12" s="991">
        <f t="shared" si="18"/>
        <v>-0.289838337182448</v>
      </c>
      <c r="BA12" s="39">
        <f t="shared" si="19" ref="BA12:BO12">BA77/AV77-1</f>
        <v>-0.63692946058091282</v>
      </c>
      <c r="BB12" s="39">
        <f t="shared" si="19"/>
        <v>11.738461538461538</v>
      </c>
      <c r="BC12" s="39">
        <f t="shared" si="19"/>
        <v>4.28125</v>
      </c>
      <c r="BD12" s="39">
        <f t="shared" si="19"/>
        <v>3.4732824427480917</v>
      </c>
      <c r="BE12" s="991">
        <f t="shared" si="19"/>
        <v>-0.7056910569105691</v>
      </c>
      <c r="BF12" s="39">
        <f>BF77/BA77-1</f>
        <v>1.137142857142857</v>
      </c>
      <c r="BG12" s="39">
        <f>BG77/BB77-1</f>
        <v>-0.66908212560386471</v>
      </c>
      <c r="BH12" s="743">
        <f>BH77/BC77-1</f>
        <v>-2.3875739644970415</v>
      </c>
      <c r="BI12" s="441">
        <f t="shared" si="19"/>
        <v>-0.44629674026279909</v>
      </c>
      <c r="BJ12" s="990">
        <f t="shared" si="19"/>
        <v>5.7289514939889381</v>
      </c>
      <c r="BK12" s="441">
        <f t="shared" si="19"/>
        <v>0.48759777218181832</v>
      </c>
      <c r="BL12" s="441">
        <f t="shared" si="19"/>
        <v>-1.7626389665656934</v>
      </c>
      <c r="BM12" s="441">
        <f t="shared" si="19"/>
        <v>-0.1483920398869929</v>
      </c>
      <c r="BN12" s="441">
        <f t="shared" si="19"/>
        <v>0.051114229047571236</v>
      </c>
      <c r="BO12" s="990">
        <f t="shared" si="19"/>
        <v>0.51636266333300007</v>
      </c>
      <c r="BP12" s="990">
        <f>BP77/BO77-1</f>
        <v>-0.16350062231028273</v>
      </c>
      <c r="BQ12" s="990">
        <f>BQ77/BP77-1</f>
        <v>0.55150197717516125</v>
      </c>
      <c r="BR12" s="990">
        <f>BR77/BQ77-1</f>
        <v>-0.28812699683628318</v>
      </c>
      <c r="BS12" s="43"/>
    </row>
    <row r="13" spans="1:71" s="27" customFormat="1" ht="15">
      <c r="A13" s="442"/>
      <c r="B13" s="443"/>
      <c r="C13" s="992"/>
      <c r="D13" s="992"/>
      <c r="E13" s="992"/>
      <c r="F13" s="992"/>
      <c r="G13" s="992"/>
      <c r="H13" s="444"/>
      <c r="I13" s="444"/>
      <c r="J13" s="444"/>
      <c r="K13" s="444"/>
      <c r="L13" s="992"/>
      <c r="M13" s="444"/>
      <c r="N13" s="444"/>
      <c r="O13" s="444"/>
      <c r="P13" s="444"/>
      <c r="Q13" s="992"/>
      <c r="R13" s="444"/>
      <c r="S13" s="444"/>
      <c r="T13" s="444"/>
      <c r="U13" s="444"/>
      <c r="V13" s="992"/>
      <c r="W13" s="444"/>
      <c r="X13" s="444"/>
      <c r="Y13" s="444"/>
      <c r="Z13" s="444"/>
      <c r="AA13" s="992"/>
      <c r="AB13" s="444"/>
      <c r="AC13" s="444"/>
      <c r="AD13" s="444"/>
      <c r="AE13" s="444"/>
      <c r="AF13" s="992"/>
      <c r="AG13" s="444"/>
      <c r="AH13" s="444"/>
      <c r="AI13" s="444"/>
      <c r="AJ13" s="444"/>
      <c r="AK13" s="992"/>
      <c r="AL13" s="444"/>
      <c r="AM13" s="444"/>
      <c r="AN13" s="444"/>
      <c r="AO13" s="444"/>
      <c r="AP13" s="992"/>
      <c r="AQ13" s="444"/>
      <c r="AR13" s="444"/>
      <c r="AS13" s="444"/>
      <c r="AT13" s="444"/>
      <c r="AU13" s="992"/>
      <c r="AV13" s="444"/>
      <c r="AW13" s="444"/>
      <c r="AX13" s="444"/>
      <c r="AY13" s="444"/>
      <c r="AZ13" s="992"/>
      <c r="BA13" s="444"/>
      <c r="BB13" s="444"/>
      <c r="BC13" s="444"/>
      <c r="BD13" s="444"/>
      <c r="BE13" s="992"/>
      <c r="BF13" s="444"/>
      <c r="BG13" s="444"/>
      <c r="BH13" s="744"/>
      <c r="BI13" s="444"/>
      <c r="BJ13" s="992"/>
      <c r="BK13" s="444"/>
      <c r="BL13" s="444"/>
      <c r="BM13" s="444"/>
      <c r="BN13" s="444"/>
      <c r="BO13" s="992"/>
      <c r="BP13" s="992"/>
      <c r="BQ13" s="992"/>
      <c r="BR13" s="992"/>
      <c r="BS13" s="71"/>
    </row>
    <row r="14" spans="1:71" s="181" customFormat="1" ht="15">
      <c r="A14" s="826" t="s">
        <v>323</v>
      </c>
      <c r="B14" s="826"/>
      <c r="C14" s="847"/>
      <c r="D14" s="847"/>
      <c r="E14" s="847"/>
      <c r="F14" s="847"/>
      <c r="G14" s="847"/>
      <c r="H14" s="847"/>
      <c r="I14" s="847"/>
      <c r="J14" s="847"/>
      <c r="K14" s="847"/>
      <c r="L14" s="847"/>
      <c r="M14" s="847"/>
      <c r="N14" s="847"/>
      <c r="O14" s="847"/>
      <c r="P14" s="847"/>
      <c r="Q14" s="847"/>
      <c r="R14" s="847"/>
      <c r="S14" s="847"/>
      <c r="T14" s="847"/>
      <c r="U14" s="847"/>
      <c r="V14" s="847"/>
      <c r="W14" s="847"/>
      <c r="X14" s="847"/>
      <c r="Y14" s="847"/>
      <c r="Z14" s="847"/>
      <c r="AA14" s="847"/>
      <c r="AB14" s="847"/>
      <c r="AC14" s="847"/>
      <c r="AD14" s="847"/>
      <c r="AE14" s="847"/>
      <c r="AF14" s="847"/>
      <c r="AG14" s="847"/>
      <c r="AH14" s="847"/>
      <c r="AI14" s="847"/>
      <c r="AJ14" s="847"/>
      <c r="AK14" s="847"/>
      <c r="AL14" s="847"/>
      <c r="AM14" s="847"/>
      <c r="AN14" s="847"/>
      <c r="AO14" s="847"/>
      <c r="AP14" s="847"/>
      <c r="AQ14" s="847"/>
      <c r="AR14" s="847"/>
      <c r="AS14" s="847"/>
      <c r="AT14" s="847"/>
      <c r="AU14" s="847"/>
      <c r="AV14" s="847"/>
      <c r="AW14" s="847"/>
      <c r="AX14" s="847"/>
      <c r="AY14" s="847"/>
      <c r="AZ14" s="847"/>
      <c r="BA14" s="847"/>
      <c r="BB14" s="847"/>
      <c r="BC14" s="847"/>
      <c r="BD14" s="847"/>
      <c r="BE14" s="847"/>
      <c r="BF14" s="847"/>
      <c r="BG14" s="847"/>
      <c r="BH14" s="848"/>
      <c r="BI14" s="847"/>
      <c r="BJ14" s="847"/>
      <c r="BK14" s="847"/>
      <c r="BL14" s="847"/>
      <c r="BM14" s="847"/>
      <c r="BN14" s="847"/>
      <c r="BO14" s="847"/>
      <c r="BP14" s="847"/>
      <c r="BQ14" s="847"/>
      <c r="BR14" s="847"/>
      <c r="BS14" s="423"/>
    </row>
    <row r="15" spans="1:71" s="24" customFormat="1" ht="15">
      <c r="A15" s="184" t="s">
        <v>20</v>
      </c>
      <c r="B15" s="445"/>
      <c r="C15" s="993">
        <f t="shared" si="20" ref="C15:AM15">C201</f>
        <v>12098</v>
      </c>
      <c r="D15" s="993">
        <f t="shared" si="20"/>
        <v>11891</v>
      </c>
      <c r="E15" s="993">
        <f t="shared" si="20"/>
        <v>12418</v>
      </c>
      <c r="F15" s="993">
        <f t="shared" si="20"/>
        <v>13111</v>
      </c>
      <c r="G15" s="993">
        <f t="shared" si="20"/>
        <v>14992</v>
      </c>
      <c r="H15" s="265">
        <f t="shared" si="20"/>
        <v>4224</v>
      </c>
      <c r="I15" s="265">
        <f t="shared" si="20"/>
        <v>4067</v>
      </c>
      <c r="J15" s="265">
        <f t="shared" si="20"/>
        <v>4057</v>
      </c>
      <c r="K15" s="265">
        <f t="shared" si="20"/>
        <v>3860</v>
      </c>
      <c r="L15" s="993">
        <f t="shared" si="20"/>
        <v>16208</v>
      </c>
      <c r="M15" s="265">
        <f t="shared" si="20"/>
        <v>4276</v>
      </c>
      <c r="N15" s="265">
        <f t="shared" si="20"/>
        <v>4027</v>
      </c>
      <c r="O15" s="265">
        <f t="shared" si="20"/>
        <v>3981</v>
      </c>
      <c r="P15" s="265">
        <f t="shared" si="20"/>
        <v>3783</v>
      </c>
      <c r="Q15" s="993">
        <f t="shared" si="20"/>
        <v>16067</v>
      </c>
      <c r="R15" s="265">
        <f t="shared" si="20"/>
        <v>4199</v>
      </c>
      <c r="S15" s="265">
        <f t="shared" si="20"/>
        <v>3780</v>
      </c>
      <c r="T15" s="265">
        <f t="shared" si="20"/>
        <v>3752</v>
      </c>
      <c r="U15" s="265">
        <f t="shared" si="20"/>
        <v>3501</v>
      </c>
      <c r="V15" s="993">
        <f t="shared" si="20"/>
        <v>15232</v>
      </c>
      <c r="W15" s="265">
        <f t="shared" si="20"/>
        <v>4271</v>
      </c>
      <c r="X15" s="265">
        <f t="shared" si="20"/>
        <v>3794</v>
      </c>
      <c r="Y15" s="265">
        <f t="shared" si="20"/>
        <v>3787</v>
      </c>
      <c r="Z15" s="265">
        <f t="shared" si="20"/>
        <v>3621</v>
      </c>
      <c r="AA15" s="993">
        <f t="shared" si="20"/>
        <v>15473</v>
      </c>
      <c r="AB15" s="265">
        <f t="shared" si="20"/>
        <v>4471</v>
      </c>
      <c r="AC15" s="265">
        <f t="shared" si="20"/>
        <v>4038</v>
      </c>
      <c r="AD15" s="265">
        <f t="shared" si="20"/>
        <v>3992</v>
      </c>
      <c r="AE15" s="265">
        <f t="shared" si="20"/>
        <v>3754</v>
      </c>
      <c r="AF15" s="993">
        <f t="shared" si="20"/>
        <v>16255</v>
      </c>
      <c r="AG15" s="265">
        <f t="shared" si="20"/>
        <v>4730</v>
      </c>
      <c r="AH15" s="265">
        <f t="shared" si="20"/>
        <v>4193</v>
      </c>
      <c r="AI15" s="265">
        <f t="shared" si="20"/>
        <v>4271</v>
      </c>
      <c r="AJ15" s="265">
        <f t="shared" si="20"/>
        <v>3957</v>
      </c>
      <c r="AK15" s="993">
        <f t="shared" si="20"/>
        <v>17151</v>
      </c>
      <c r="AL15" s="265">
        <f t="shared" si="20"/>
        <v>4794</v>
      </c>
      <c r="AM15" s="265">
        <f t="shared" si="20"/>
        <v>4127</v>
      </c>
      <c r="AN15" s="265">
        <f>AN201</f>
        <v>4230</v>
      </c>
      <c r="AO15" s="265">
        <f t="shared" si="21" ref="AO15:AQ15">AO201</f>
        <v>3909</v>
      </c>
      <c r="AP15" s="993">
        <f t="shared" si="21"/>
        <v>17060</v>
      </c>
      <c r="AQ15" s="265">
        <f t="shared" si="21"/>
        <v>4776</v>
      </c>
      <c r="AR15" s="265">
        <f t="shared" si="22" ref="AR15:AW15">AR201</f>
        <v>4356</v>
      </c>
      <c r="AS15" s="265">
        <f t="shared" si="22"/>
        <v>4453</v>
      </c>
      <c r="AT15" s="265">
        <f t="shared" si="22"/>
        <v>4244</v>
      </c>
      <c r="AU15" s="993">
        <f t="shared" si="22"/>
        <v>17829</v>
      </c>
      <c r="AV15" s="265">
        <f t="shared" si="22"/>
        <v>5148</v>
      </c>
      <c r="AW15" s="265">
        <f t="shared" si="22"/>
        <v>4786</v>
      </c>
      <c r="AX15" s="265">
        <f t="shared" si="23" ref="AX15:BC15">AX201</f>
        <v>4864</v>
      </c>
      <c r="AY15" s="265">
        <f t="shared" si="23"/>
        <v>4723</v>
      </c>
      <c r="AZ15" s="993">
        <f t="shared" si="23"/>
        <v>19521</v>
      </c>
      <c r="BA15" s="265">
        <f t="shared" si="23"/>
        <v>5828</v>
      </c>
      <c r="BB15" s="265">
        <f t="shared" si="23"/>
        <v>5662</v>
      </c>
      <c r="BC15" s="265">
        <f t="shared" si="23"/>
        <v>5685</v>
      </c>
      <c r="BD15" s="265">
        <f>BD201</f>
        <v>5394</v>
      </c>
      <c r="BE15" s="993">
        <f>BE201</f>
        <v>22569</v>
      </c>
      <c r="BF15" s="265">
        <f>BF201</f>
        <v>6383</v>
      </c>
      <c r="BG15" s="265">
        <f>BG201</f>
        <v>6169</v>
      </c>
      <c r="BH15" s="745">
        <f>BH201</f>
        <v>6173</v>
      </c>
      <c r="BI15" s="210">
        <f t="shared" si="24" ref="BI15:BI17">BD15*(1+BI7)</f>
        <v>5555.82</v>
      </c>
      <c r="BJ15" s="994">
        <f>SUM(BF15,BG15,BH15,BI15)</f>
        <v>24280.82</v>
      </c>
      <c r="BK15" s="210">
        <f t="shared" si="25" ref="BK15:BN17">BF15*(1+BK7)</f>
        <v>6574.4899999999998</v>
      </c>
      <c r="BL15" s="210">
        <f t="shared" si="25"/>
        <v>6354.0700000000006</v>
      </c>
      <c r="BM15" s="210">
        <f t="shared" si="25"/>
        <v>6358.1900000000005</v>
      </c>
      <c r="BN15" s="210">
        <f t="shared" si="25"/>
        <v>5722.4946</v>
      </c>
      <c r="BO15" s="994">
        <f>SUM(BK15,BL15,BM15,BN15)</f>
        <v>25009.244599999998</v>
      </c>
      <c r="BP15" s="994">
        <f t="shared" si="26" ref="BP15:BR17">BO15*(1+BP7)</f>
        <v>25384.383268999994</v>
      </c>
      <c r="BQ15" s="994">
        <f t="shared" si="26"/>
        <v>25765.14901803499</v>
      </c>
      <c r="BR15" s="994">
        <f t="shared" si="26"/>
        <v>26151.626253305512</v>
      </c>
      <c r="BS15" s="833"/>
    </row>
    <row r="16" spans="1:71" s="24" customFormat="1" ht="15">
      <c r="A16" s="184" t="s">
        <v>21</v>
      </c>
      <c r="B16" s="445"/>
      <c r="C16" s="993">
        <f t="shared" si="27" ref="C16:AM16">C259</f>
        <v>3713</v>
      </c>
      <c r="D16" s="993">
        <f t="shared" si="27"/>
        <v>3534</v>
      </c>
      <c r="E16" s="993">
        <f t="shared" si="27"/>
        <v>3408</v>
      </c>
      <c r="F16" s="993">
        <f t="shared" si="27"/>
        <v>3275</v>
      </c>
      <c r="G16" s="993">
        <f t="shared" si="27"/>
        <v>2131</v>
      </c>
      <c r="H16" s="265">
        <f t="shared" si="27"/>
        <v>528</v>
      </c>
      <c r="I16" s="265">
        <f t="shared" si="27"/>
        <v>542</v>
      </c>
      <c r="J16" s="265">
        <f t="shared" si="27"/>
        <v>562</v>
      </c>
      <c r="K16" s="265">
        <f t="shared" si="27"/>
        <v>533</v>
      </c>
      <c r="L16" s="993">
        <f t="shared" si="27"/>
        <v>2165</v>
      </c>
      <c r="M16" s="265">
        <f t="shared" si="27"/>
        <v>522</v>
      </c>
      <c r="N16" s="265">
        <f t="shared" si="27"/>
        <v>537</v>
      </c>
      <c r="O16" s="265">
        <f t="shared" si="27"/>
        <v>580</v>
      </c>
      <c r="P16" s="265">
        <f t="shared" si="27"/>
        <v>514</v>
      </c>
      <c r="Q16" s="993">
        <f t="shared" si="27"/>
        <v>2153</v>
      </c>
      <c r="R16" s="265">
        <f t="shared" si="27"/>
        <v>577</v>
      </c>
      <c r="S16" s="265">
        <f t="shared" si="27"/>
        <v>589</v>
      </c>
      <c r="T16" s="265">
        <f t="shared" si="27"/>
        <v>618</v>
      </c>
      <c r="U16" s="265">
        <f t="shared" si="27"/>
        <v>588</v>
      </c>
      <c r="V16" s="993">
        <f t="shared" si="27"/>
        <v>2372</v>
      </c>
      <c r="W16" s="265">
        <f t="shared" si="27"/>
        <v>601</v>
      </c>
      <c r="X16" s="265">
        <f t="shared" si="27"/>
        <v>620</v>
      </c>
      <c r="Y16" s="265">
        <f t="shared" si="27"/>
        <v>632</v>
      </c>
      <c r="Z16" s="265">
        <f t="shared" si="27"/>
        <v>627</v>
      </c>
      <c r="AA16" s="993">
        <f t="shared" si="27"/>
        <v>2480</v>
      </c>
      <c r="AB16" s="265">
        <f t="shared" si="27"/>
        <v>638</v>
      </c>
      <c r="AC16" s="265">
        <f t="shared" si="27"/>
        <v>674</v>
      </c>
      <c r="AD16" s="265">
        <f t="shared" si="27"/>
        <v>673</v>
      </c>
      <c r="AE16" s="265">
        <f t="shared" si="27"/>
        <v>680</v>
      </c>
      <c r="AF16" s="993">
        <f t="shared" si="27"/>
        <v>2665</v>
      </c>
      <c r="AG16" s="265">
        <f t="shared" si="27"/>
        <v>662</v>
      </c>
      <c r="AH16" s="265">
        <f t="shared" si="27"/>
        <v>747</v>
      </c>
      <c r="AI16" s="265">
        <f t="shared" si="27"/>
        <v>770</v>
      </c>
      <c r="AJ16" s="265">
        <f t="shared" si="27"/>
        <v>752</v>
      </c>
      <c r="AK16" s="993">
        <f t="shared" si="27"/>
        <v>2931</v>
      </c>
      <c r="AL16" s="265">
        <f t="shared" si="27"/>
        <v>750</v>
      </c>
      <c r="AM16" s="265">
        <f t="shared" si="27"/>
        <v>770</v>
      </c>
      <c r="AN16" s="265">
        <f>AN259</f>
        <v>803</v>
      </c>
      <c r="AO16" s="265">
        <f t="shared" si="28" ref="AO16:AQ16">AO259</f>
        <v>861</v>
      </c>
      <c r="AP16" s="993">
        <f t="shared" si="28"/>
        <v>3184</v>
      </c>
      <c r="AQ16" s="265">
        <f t="shared" si="28"/>
        <v>834</v>
      </c>
      <c r="AR16" s="265">
        <f t="shared" si="29" ref="AR16:AW16">AR259</f>
        <v>919</v>
      </c>
      <c r="AS16" s="265">
        <f t="shared" si="29"/>
        <v>984</v>
      </c>
      <c r="AT16" s="265">
        <f t="shared" si="29"/>
        <v>988</v>
      </c>
      <c r="AU16" s="993">
        <f t="shared" si="29"/>
        <v>3725</v>
      </c>
      <c r="AV16" s="265">
        <f t="shared" si="29"/>
        <v>1009</v>
      </c>
      <c r="AW16" s="265">
        <f t="shared" si="29"/>
        <v>1036</v>
      </c>
      <c r="AX16" s="265">
        <f t="shared" si="30" ref="AX16:BC16">AX259</f>
        <v>1043</v>
      </c>
      <c r="AY16" s="265">
        <f t="shared" si="30"/>
        <v>994</v>
      </c>
      <c r="AZ16" s="993">
        <f t="shared" si="30"/>
        <v>4082</v>
      </c>
      <c r="BA16" s="265">
        <f t="shared" si="30"/>
        <v>1010</v>
      </c>
      <c r="BB16" s="265">
        <f t="shared" si="30"/>
        <v>1035</v>
      </c>
      <c r="BC16" s="265">
        <f t="shared" si="30"/>
        <v>1082</v>
      </c>
      <c r="BD16" s="265">
        <f>BD259</f>
        <v>1060</v>
      </c>
      <c r="BE16" s="993">
        <f>BE259</f>
        <v>4187</v>
      </c>
      <c r="BF16" s="265">
        <f>BF259</f>
        <v>1076</v>
      </c>
      <c r="BG16" s="265">
        <f>BG259</f>
        <v>1127</v>
      </c>
      <c r="BH16" s="745">
        <f>BH259</f>
        <v>1165</v>
      </c>
      <c r="BI16" s="210">
        <f t="shared" si="24"/>
        <v>1091.80</v>
      </c>
      <c r="BJ16" s="994">
        <f>SUM(BF16,BG16,BH16,BI16)</f>
        <v>4459.80</v>
      </c>
      <c r="BK16" s="210">
        <f t="shared" si="25"/>
        <v>1108.28</v>
      </c>
      <c r="BL16" s="210">
        <f t="shared" si="25"/>
        <v>1160.8099999999999</v>
      </c>
      <c r="BM16" s="210">
        <f t="shared" si="25"/>
        <v>1199.95</v>
      </c>
      <c r="BN16" s="210">
        <f t="shared" si="25"/>
        <v>1124.5540000000001</v>
      </c>
      <c r="BO16" s="994">
        <f>SUM(BK16,BL16,BM16,BN16)</f>
        <v>4593.5940000000001</v>
      </c>
      <c r="BP16" s="994">
        <f t="shared" si="26"/>
        <v>4777.3377600000003</v>
      </c>
      <c r="BQ16" s="994">
        <f t="shared" si="26"/>
        <v>4968.4312704000004</v>
      </c>
      <c r="BR16" s="994">
        <f t="shared" si="26"/>
        <v>5167.168521216001</v>
      </c>
      <c r="BS16" s="833"/>
    </row>
    <row r="17" spans="1:71" s="24" customFormat="1" ht="15">
      <c r="A17" s="179" t="s">
        <v>22</v>
      </c>
      <c r="B17" s="446"/>
      <c r="C17" s="995">
        <f t="shared" si="31" ref="C17:AM17">C310</f>
        <v>7474</v>
      </c>
      <c r="D17" s="995">
        <f t="shared" si="31"/>
        <v>7877</v>
      </c>
      <c r="E17" s="995">
        <f t="shared" si="31"/>
        <v>8061</v>
      </c>
      <c r="F17" s="995">
        <f t="shared" si="31"/>
        <v>7923</v>
      </c>
      <c r="G17" s="995">
        <f t="shared" si="31"/>
        <v>7534</v>
      </c>
      <c r="H17" s="186">
        <f t="shared" si="31"/>
        <v>1649</v>
      </c>
      <c r="I17" s="186">
        <f t="shared" si="31"/>
        <v>1916</v>
      </c>
      <c r="J17" s="186">
        <f t="shared" si="31"/>
        <v>1959</v>
      </c>
      <c r="K17" s="186">
        <f t="shared" si="31"/>
        <v>1741</v>
      </c>
      <c r="L17" s="995">
        <f t="shared" si="31"/>
        <v>7265</v>
      </c>
      <c r="M17" s="186">
        <f t="shared" si="31"/>
        <v>1676</v>
      </c>
      <c r="N17" s="186">
        <f t="shared" si="31"/>
        <v>1978</v>
      </c>
      <c r="O17" s="186">
        <f t="shared" si="31"/>
        <v>2057</v>
      </c>
      <c r="P17" s="186">
        <f t="shared" si="31"/>
        <v>1851</v>
      </c>
      <c r="Q17" s="995">
        <f t="shared" si="31"/>
        <v>7562</v>
      </c>
      <c r="R17" s="186">
        <f t="shared" si="31"/>
        <v>1936</v>
      </c>
      <c r="S17" s="186">
        <f t="shared" si="31"/>
        <v>2319</v>
      </c>
      <c r="T17" s="186">
        <f t="shared" si="31"/>
        <v>2428</v>
      </c>
      <c r="U17" s="186">
        <f t="shared" si="31"/>
        <v>2208</v>
      </c>
      <c r="V17" s="995">
        <f t="shared" si="31"/>
        <v>8891</v>
      </c>
      <c r="W17" s="186">
        <f t="shared" si="31"/>
        <v>2146</v>
      </c>
      <c r="X17" s="186">
        <f t="shared" si="31"/>
        <v>2513</v>
      </c>
      <c r="Y17" s="186">
        <f t="shared" si="31"/>
        <v>2644</v>
      </c>
      <c r="Z17" s="186">
        <f t="shared" si="31"/>
        <v>2392</v>
      </c>
      <c r="AA17" s="995">
        <f t="shared" si="31"/>
        <v>9695</v>
      </c>
      <c r="AB17" s="186">
        <f t="shared" si="31"/>
        <v>2309</v>
      </c>
      <c r="AC17" s="186">
        <f t="shared" si="31"/>
        <v>2717</v>
      </c>
      <c r="AD17" s="186">
        <f t="shared" si="31"/>
        <v>2797</v>
      </c>
      <c r="AE17" s="186">
        <f t="shared" si="31"/>
        <v>2509</v>
      </c>
      <c r="AF17" s="995">
        <f t="shared" si="31"/>
        <v>10332</v>
      </c>
      <c r="AG17" s="186">
        <f t="shared" si="31"/>
        <v>2447</v>
      </c>
      <c r="AH17" s="186">
        <f t="shared" si="31"/>
        <v>2884</v>
      </c>
      <c r="AI17" s="186">
        <f t="shared" si="31"/>
        <v>2981</v>
      </c>
      <c r="AJ17" s="186">
        <f t="shared" si="31"/>
        <v>2669</v>
      </c>
      <c r="AK17" s="995">
        <f t="shared" si="31"/>
        <v>10981</v>
      </c>
      <c r="AL17" s="186">
        <f t="shared" si="31"/>
        <v>2608</v>
      </c>
      <c r="AM17" s="186">
        <f t="shared" si="31"/>
        <v>2854</v>
      </c>
      <c r="AN17" s="186">
        <f>AN310</f>
        <v>3210</v>
      </c>
      <c r="AO17" s="186">
        <f t="shared" si="32" ref="AO17:AQ17">AO310</f>
        <v>2847</v>
      </c>
      <c r="AP17" s="995">
        <f t="shared" si="32"/>
        <v>11519</v>
      </c>
      <c r="AQ17" s="186">
        <f t="shared" si="32"/>
        <v>2797</v>
      </c>
      <c r="AR17" s="186">
        <f t="shared" si="33" ref="AR17:AW17">AR310</f>
        <v>3322</v>
      </c>
      <c r="AS17" s="186">
        <f t="shared" si="33"/>
        <v>3439</v>
      </c>
      <c r="AT17" s="186">
        <f t="shared" si="33"/>
        <v>3132</v>
      </c>
      <c r="AU17" s="995">
        <f t="shared" si="33"/>
        <v>12690</v>
      </c>
      <c r="AV17" s="186">
        <f t="shared" si="33"/>
        <v>3126</v>
      </c>
      <c r="AW17" s="186">
        <f t="shared" si="33"/>
        <v>3714</v>
      </c>
      <c r="AX17" s="186">
        <f t="shared" si="34" ref="AX17:BC17">AX310</f>
        <v>3905</v>
      </c>
      <c r="AY17" s="186">
        <f t="shared" si="34"/>
        <v>3528</v>
      </c>
      <c r="AZ17" s="995">
        <f t="shared" si="34"/>
        <v>14273</v>
      </c>
      <c r="BA17" s="186">
        <f t="shared" si="34"/>
        <v>3509</v>
      </c>
      <c r="BB17" s="186">
        <f t="shared" si="34"/>
        <v>4210</v>
      </c>
      <c r="BC17" s="186">
        <f t="shared" si="34"/>
        <v>4496</v>
      </c>
      <c r="BD17" s="186">
        <f>BD310</f>
        <v>4001</v>
      </c>
      <c r="BE17" s="995">
        <f>BE310</f>
        <v>16216</v>
      </c>
      <c r="BF17" s="186">
        <f>BF310</f>
        <v>3851</v>
      </c>
      <c r="BG17" s="186">
        <f>BG310</f>
        <v>4569</v>
      </c>
      <c r="BH17" s="746">
        <f>BH310</f>
        <v>4811</v>
      </c>
      <c r="BI17" s="205">
        <f t="shared" si="24"/>
        <v>4241.0600000000004</v>
      </c>
      <c r="BJ17" s="996">
        <f>SUM(BF17,BG17,BH17,BI17)</f>
        <v>17472.060000000001</v>
      </c>
      <c r="BK17" s="205">
        <f t="shared" si="25"/>
        <v>4082.0600000000004</v>
      </c>
      <c r="BL17" s="205">
        <f t="shared" si="25"/>
        <v>4843.1400000000003</v>
      </c>
      <c r="BM17" s="205">
        <f t="shared" si="25"/>
        <v>5099.66</v>
      </c>
      <c r="BN17" s="205">
        <f t="shared" si="25"/>
        <v>4495.5236000000004</v>
      </c>
      <c r="BO17" s="996">
        <f>SUM(BK17,BL17,BM17,BN17)</f>
        <v>18520.383600000001</v>
      </c>
      <c r="BP17" s="996">
        <f t="shared" si="26"/>
        <v>19631.606616000001</v>
      </c>
      <c r="BQ17" s="996">
        <f t="shared" si="26"/>
        <v>20809.503012960002</v>
      </c>
      <c r="BR17" s="996">
        <f t="shared" si="26"/>
        <v>22058.073193737604</v>
      </c>
      <c r="BS17" s="833"/>
    </row>
    <row r="18" spans="1:71" s="181" customFormat="1" ht="15">
      <c r="A18" s="88" t="s">
        <v>23</v>
      </c>
      <c r="B18" s="447"/>
      <c r="C18" s="997">
        <f t="shared" si="35" ref="C18:AM18">SUM(C15:C17)</f>
        <v>23285</v>
      </c>
      <c r="D18" s="997">
        <f t="shared" si="35"/>
        <v>23302</v>
      </c>
      <c r="E18" s="997">
        <f t="shared" si="35"/>
        <v>23887</v>
      </c>
      <c r="F18" s="997">
        <f t="shared" si="35"/>
        <v>24309</v>
      </c>
      <c r="G18" s="997">
        <f t="shared" si="35"/>
        <v>24657</v>
      </c>
      <c r="H18" s="193">
        <f t="shared" si="35"/>
        <v>6401</v>
      </c>
      <c r="I18" s="193">
        <f t="shared" si="35"/>
        <v>6525</v>
      </c>
      <c r="J18" s="193">
        <f t="shared" si="35"/>
        <v>6578</v>
      </c>
      <c r="K18" s="193">
        <f t="shared" si="35"/>
        <v>6134</v>
      </c>
      <c r="L18" s="997">
        <f t="shared" si="35"/>
        <v>25638</v>
      </c>
      <c r="M18" s="193">
        <f t="shared" si="35"/>
        <v>6474</v>
      </c>
      <c r="N18" s="193">
        <f t="shared" si="35"/>
        <v>6542</v>
      </c>
      <c r="O18" s="193">
        <f t="shared" si="35"/>
        <v>6618</v>
      </c>
      <c r="P18" s="193">
        <f t="shared" si="35"/>
        <v>6148</v>
      </c>
      <c r="Q18" s="997">
        <f t="shared" si="35"/>
        <v>25782</v>
      </c>
      <c r="R18" s="193">
        <f t="shared" si="35"/>
        <v>6712</v>
      </c>
      <c r="S18" s="193">
        <f t="shared" si="35"/>
        <v>6688</v>
      </c>
      <c r="T18" s="193">
        <f t="shared" si="35"/>
        <v>6798</v>
      </c>
      <c r="U18" s="193">
        <f t="shared" si="35"/>
        <v>6297</v>
      </c>
      <c r="V18" s="997">
        <f t="shared" si="35"/>
        <v>26495</v>
      </c>
      <c r="W18" s="193">
        <f t="shared" si="35"/>
        <v>7018</v>
      </c>
      <c r="X18" s="193">
        <f t="shared" si="35"/>
        <v>6927</v>
      </c>
      <c r="Y18" s="193">
        <f t="shared" si="35"/>
        <v>7063</v>
      </c>
      <c r="Z18" s="193">
        <f t="shared" si="35"/>
        <v>6640</v>
      </c>
      <c r="AA18" s="997">
        <f t="shared" si="35"/>
        <v>27648</v>
      </c>
      <c r="AB18" s="193">
        <f t="shared" si="35"/>
        <v>7418</v>
      </c>
      <c r="AC18" s="193">
        <f t="shared" si="35"/>
        <v>7429</v>
      </c>
      <c r="AD18" s="193">
        <f t="shared" si="35"/>
        <v>7462</v>
      </c>
      <c r="AE18" s="193">
        <f t="shared" si="35"/>
        <v>6943</v>
      </c>
      <c r="AF18" s="997">
        <f t="shared" si="35"/>
        <v>29252</v>
      </c>
      <c r="AG18" s="193">
        <f t="shared" si="35"/>
        <v>7839</v>
      </c>
      <c r="AH18" s="193">
        <f t="shared" si="35"/>
        <v>7824</v>
      </c>
      <c r="AI18" s="193">
        <f t="shared" si="35"/>
        <v>8022</v>
      </c>
      <c r="AJ18" s="193">
        <f t="shared" si="35"/>
        <v>7378</v>
      </c>
      <c r="AK18" s="997">
        <f t="shared" si="35"/>
        <v>31063</v>
      </c>
      <c r="AL18" s="193">
        <f t="shared" si="35"/>
        <v>8152</v>
      </c>
      <c r="AM18" s="193">
        <f t="shared" si="35"/>
        <v>7751</v>
      </c>
      <c r="AN18" s="193">
        <f>SUM(AN15:AN17)</f>
        <v>8243</v>
      </c>
      <c r="AO18" s="193">
        <f t="shared" si="36" ref="AO18:AQ18">SUM(AO15:AO17)</f>
        <v>7617</v>
      </c>
      <c r="AP18" s="997">
        <f t="shared" si="36"/>
        <v>31763</v>
      </c>
      <c r="AQ18" s="193">
        <f t="shared" si="36"/>
        <v>8407</v>
      </c>
      <c r="AR18" s="193">
        <f t="shared" si="37" ref="AR18:AW18">SUM(AR15:AR17)</f>
        <v>8597</v>
      </c>
      <c r="AS18" s="193">
        <f t="shared" si="37"/>
        <v>8876</v>
      </c>
      <c r="AT18" s="193">
        <f t="shared" si="37"/>
        <v>8364</v>
      </c>
      <c r="AU18" s="997">
        <f t="shared" si="37"/>
        <v>34244</v>
      </c>
      <c r="AV18" s="193">
        <f t="shared" si="37"/>
        <v>9283</v>
      </c>
      <c r="AW18" s="193">
        <f t="shared" si="37"/>
        <v>9536</v>
      </c>
      <c r="AX18" s="193">
        <f t="shared" si="38" ref="AX18:BJ18">SUM(AX15:AX17)</f>
        <v>9812</v>
      </c>
      <c r="AY18" s="193">
        <f t="shared" si="38"/>
        <v>9245</v>
      </c>
      <c r="AZ18" s="997">
        <f t="shared" si="38"/>
        <v>37876</v>
      </c>
      <c r="BA18" s="193">
        <f t="shared" si="39" ref="BA18:BI18">SUM(BA15:BA17)</f>
        <v>10347</v>
      </c>
      <c r="BB18" s="193">
        <f t="shared" si="39"/>
        <v>10907</v>
      </c>
      <c r="BC18" s="193">
        <f t="shared" si="39"/>
        <v>11263</v>
      </c>
      <c r="BD18" s="193">
        <f t="shared" si="39"/>
        <v>10455</v>
      </c>
      <c r="BE18" s="997">
        <f t="shared" si="39"/>
        <v>42972</v>
      </c>
      <c r="BF18" s="193">
        <f>SUM(BF15:BF17)</f>
        <v>11310</v>
      </c>
      <c r="BG18" s="193">
        <f>SUM(BG15:BG17)</f>
        <v>11865</v>
      </c>
      <c r="BH18" s="747">
        <f>SUM(BH15:BH17)</f>
        <v>12149</v>
      </c>
      <c r="BI18" s="194">
        <f t="shared" si="39"/>
        <v>10888.68</v>
      </c>
      <c r="BJ18" s="998">
        <f t="shared" si="38"/>
        <v>46212.68</v>
      </c>
      <c r="BK18" s="194">
        <f t="shared" si="40" ref="BK18:BR18">SUM(BK15:BK17)</f>
        <v>11764.83</v>
      </c>
      <c r="BL18" s="194">
        <f t="shared" si="40"/>
        <v>12358.02</v>
      </c>
      <c r="BM18" s="194">
        <f t="shared" si="40"/>
        <v>12657.80</v>
      </c>
      <c r="BN18" s="194">
        <f t="shared" si="40"/>
        <v>11342.572200000001</v>
      </c>
      <c r="BO18" s="998">
        <f t="shared" si="40"/>
        <v>48123.222200000004</v>
      </c>
      <c r="BP18" s="998">
        <f t="shared" si="40"/>
        <v>49793.327644999998</v>
      </c>
      <c r="BQ18" s="998">
        <f t="shared" si="40"/>
        <v>51543.083301394989</v>
      </c>
      <c r="BR18" s="998">
        <f t="shared" si="40"/>
        <v>53376.867968259117</v>
      </c>
      <c r="BS18" s="423"/>
    </row>
    <row r="19" spans="1:71" s="24" customFormat="1" ht="15" hidden="1" outlineLevel="1">
      <c r="A19" s="184" t="s">
        <v>24</v>
      </c>
      <c r="B19" s="445"/>
      <c r="C19" s="993">
        <f t="shared" si="41" ref="C19:AM19">C15-C23</f>
        <v>1196</v>
      </c>
      <c r="D19" s="993">
        <f t="shared" si="41"/>
        <v>1034</v>
      </c>
      <c r="E19" s="993">
        <f t="shared" si="41"/>
        <v>1078</v>
      </c>
      <c r="F19" s="993">
        <f t="shared" si="41"/>
        <v>1239</v>
      </c>
      <c r="G19" s="993">
        <f t="shared" si="41"/>
        <v>1480</v>
      </c>
      <c r="H19" s="265">
        <f t="shared" si="41"/>
        <v>452</v>
      </c>
      <c r="I19" s="265">
        <f t="shared" si="41"/>
        <v>332</v>
      </c>
      <c r="J19" s="265">
        <f t="shared" si="41"/>
        <v>497</v>
      </c>
      <c r="K19" s="265">
        <f t="shared" si="41"/>
        <v>285</v>
      </c>
      <c r="L19" s="993">
        <f t="shared" si="41"/>
        <v>1566</v>
      </c>
      <c r="M19" s="265">
        <f t="shared" si="41"/>
        <v>479</v>
      </c>
      <c r="N19" s="265">
        <f t="shared" si="41"/>
        <v>348</v>
      </c>
      <c r="O19" s="265">
        <f t="shared" si="41"/>
        <v>391</v>
      </c>
      <c r="P19" s="265">
        <f t="shared" si="41"/>
        <v>266</v>
      </c>
      <c r="Q19" s="993">
        <f t="shared" si="41"/>
        <v>1484</v>
      </c>
      <c r="R19" s="265">
        <f t="shared" si="41"/>
        <v>439</v>
      </c>
      <c r="S19" s="265">
        <f t="shared" si="41"/>
        <v>308</v>
      </c>
      <c r="T19" s="265">
        <f t="shared" si="41"/>
        <v>364</v>
      </c>
      <c r="U19" s="265">
        <f t="shared" si="41"/>
        <v>221</v>
      </c>
      <c r="V19" s="993">
        <f t="shared" si="41"/>
        <v>1332</v>
      </c>
      <c r="W19" s="265">
        <f t="shared" si="41"/>
        <v>416</v>
      </c>
      <c r="X19" s="265">
        <f t="shared" si="41"/>
        <v>250</v>
      </c>
      <c r="Y19" s="265">
        <f t="shared" si="41"/>
        <v>353</v>
      </c>
      <c r="Z19" s="265">
        <f t="shared" si="41"/>
        <v>184</v>
      </c>
      <c r="AA19" s="993">
        <f t="shared" si="41"/>
        <v>1203</v>
      </c>
      <c r="AB19" s="265">
        <f t="shared" si="41"/>
        <v>477</v>
      </c>
      <c r="AC19" s="265">
        <f t="shared" si="41"/>
        <v>257</v>
      </c>
      <c r="AD19" s="265">
        <f t="shared" si="41"/>
        <v>344</v>
      </c>
      <c r="AE19" s="265">
        <f t="shared" si="41"/>
        <v>221</v>
      </c>
      <c r="AF19" s="993">
        <f t="shared" si="41"/>
        <v>1299</v>
      </c>
      <c r="AG19" s="265">
        <f t="shared" si="41"/>
        <v>567</v>
      </c>
      <c r="AH19" s="265">
        <f t="shared" si="41"/>
        <v>319</v>
      </c>
      <c r="AI19" s="265">
        <f t="shared" si="41"/>
        <v>382</v>
      </c>
      <c r="AJ19" s="265">
        <f t="shared" si="41"/>
        <v>254</v>
      </c>
      <c r="AK19" s="993">
        <f t="shared" si="41"/>
        <v>1522</v>
      </c>
      <c r="AL19" s="265">
        <f t="shared" si="41"/>
        <v>604</v>
      </c>
      <c r="AM19" s="265">
        <f t="shared" si="41"/>
        <v>350</v>
      </c>
      <c r="AN19" s="265">
        <f>AN15-AN23</f>
        <v>397</v>
      </c>
      <c r="AO19" s="265">
        <f t="shared" si="42" ref="AO19:AQ19">AO15-AO23</f>
        <v>278</v>
      </c>
      <c r="AP19" s="993">
        <f t="shared" si="42"/>
        <v>1629</v>
      </c>
      <c r="AQ19" s="265">
        <f t="shared" si="42"/>
        <v>651</v>
      </c>
      <c r="AR19" s="265">
        <f t="shared" si="43" ref="AR19:AS22">AR15-AR23</f>
        <v>376</v>
      </c>
      <c r="AS19" s="265">
        <f t="shared" si="43"/>
        <v>432</v>
      </c>
      <c r="AT19" s="265">
        <f t="shared" si="44" ref="AT19:AU21">AT15-AT23</f>
        <v>271</v>
      </c>
      <c r="AU19" s="993">
        <f t="shared" si="44"/>
        <v>1730</v>
      </c>
      <c r="AV19" s="265">
        <f t="shared" si="45" ref="AV19:AV22">AV15-AV23</f>
        <v>646</v>
      </c>
      <c r="AW19" s="265">
        <f t="shared" si="46" ref="AW19:AX22">AW15-AW23</f>
        <v>413</v>
      </c>
      <c r="AX19" s="265">
        <f t="shared" si="46"/>
        <v>494</v>
      </c>
      <c r="AY19" s="265">
        <f t="shared" si="47" ref="AY19:AZ21">AY15-AY23</f>
        <v>333</v>
      </c>
      <c r="AZ19" s="993">
        <f t="shared" si="47"/>
        <v>1886</v>
      </c>
      <c r="BA19" s="265">
        <f t="shared" si="48" ref="BA19:BB22">BA15-BA23</f>
        <v>671</v>
      </c>
      <c r="BB19" s="265">
        <f t="shared" si="48"/>
        <v>487</v>
      </c>
      <c r="BC19" s="265">
        <f t="shared" si="49" ref="BC19:BI21">BC15-BC23</f>
        <v>605</v>
      </c>
      <c r="BD19" s="265">
        <f t="shared" si="49"/>
        <v>376</v>
      </c>
      <c r="BE19" s="993">
        <f t="shared" si="49"/>
        <v>2139</v>
      </c>
      <c r="BF19" s="265">
        <f t="shared" si="50" ref="BF19:BG22">BF15-BF23</f>
        <v>785</v>
      </c>
      <c r="BG19" s="265">
        <f t="shared" si="50"/>
        <v>630</v>
      </c>
      <c r="BH19" s="745">
        <f>BH15-BH23</f>
        <v>656</v>
      </c>
      <c r="BI19" s="210">
        <f t="shared" si="49"/>
        <v>388.90740000000005</v>
      </c>
      <c r="BJ19" s="994">
        <f>SUM(BF19,BG19,BH19,BI19)</f>
        <v>2459.9074000000001</v>
      </c>
      <c r="BK19" s="210">
        <f t="shared" si="51" ref="BK19:BN22">BK15-BK23</f>
        <v>460.21429999999964</v>
      </c>
      <c r="BL19" s="210">
        <f t="shared" si="51"/>
        <v>444.78489999999965</v>
      </c>
      <c r="BM19" s="210">
        <f t="shared" si="51"/>
        <v>445.07330000000002</v>
      </c>
      <c r="BN19" s="210">
        <f t="shared" si="51"/>
        <v>400.57462200000009</v>
      </c>
      <c r="BO19" s="994">
        <f>SUM(BK19,BL19,BM19,BN19)</f>
        <v>1750.6471219999994</v>
      </c>
      <c r="BP19" s="994">
        <f t="shared" si="52" ref="BP19:BR21">BP15-BP23</f>
        <v>2538.4383269000027</v>
      </c>
      <c r="BQ19" s="994">
        <f t="shared" si="52"/>
        <v>2576.5149018035008</v>
      </c>
      <c r="BR19" s="994">
        <f t="shared" si="52"/>
        <v>2615.1626253305549</v>
      </c>
      <c r="BS19" s="833"/>
    </row>
    <row r="20" spans="1:71" s="24" customFormat="1" ht="15" hidden="1" outlineLevel="1">
      <c r="A20" s="184" t="s">
        <v>25</v>
      </c>
      <c r="B20" s="445"/>
      <c r="C20" s="993">
        <f t="shared" si="53" ref="C20:AM20">C16-C24</f>
        <v>428</v>
      </c>
      <c r="D20" s="993">
        <f t="shared" si="53"/>
        <v>323</v>
      </c>
      <c r="E20" s="993">
        <f t="shared" si="53"/>
        <v>306</v>
      </c>
      <c r="F20" s="993">
        <f t="shared" si="53"/>
        <v>294</v>
      </c>
      <c r="G20" s="993">
        <f t="shared" si="53"/>
        <v>101</v>
      </c>
      <c r="H20" s="265">
        <f t="shared" si="53"/>
        <v>46</v>
      </c>
      <c r="I20" s="265">
        <f t="shared" si="53"/>
        <v>2</v>
      </c>
      <c r="J20" s="265">
        <f t="shared" si="53"/>
        <v>6</v>
      </c>
      <c r="K20" s="265">
        <f t="shared" si="53"/>
        <v>8</v>
      </c>
      <c r="L20" s="993">
        <f t="shared" si="53"/>
        <v>62</v>
      </c>
      <c r="M20" s="265">
        <f t="shared" si="53"/>
        <v>44</v>
      </c>
      <c r="N20" s="265">
        <f t="shared" si="53"/>
        <v>3</v>
      </c>
      <c r="O20" s="265">
        <f t="shared" si="53"/>
        <v>15</v>
      </c>
      <c r="P20" s="265">
        <f t="shared" si="53"/>
        <v>10</v>
      </c>
      <c r="Q20" s="993">
        <f t="shared" si="53"/>
        <v>72</v>
      </c>
      <c r="R20" s="265">
        <f t="shared" si="53"/>
        <v>55</v>
      </c>
      <c r="S20" s="265">
        <f t="shared" si="53"/>
        <v>19</v>
      </c>
      <c r="T20" s="265">
        <f t="shared" si="53"/>
        <v>18</v>
      </c>
      <c r="U20" s="265">
        <f t="shared" si="53"/>
        <v>9</v>
      </c>
      <c r="V20" s="993">
        <f t="shared" si="53"/>
        <v>101</v>
      </c>
      <c r="W20" s="265">
        <f t="shared" si="53"/>
        <v>57</v>
      </c>
      <c r="X20" s="265">
        <f t="shared" si="53"/>
        <v>22</v>
      </c>
      <c r="Y20" s="265">
        <f t="shared" si="53"/>
        <v>21</v>
      </c>
      <c r="Z20" s="265">
        <f t="shared" si="53"/>
        <v>21</v>
      </c>
      <c r="AA20" s="993">
        <f t="shared" si="53"/>
        <v>121</v>
      </c>
      <c r="AB20" s="265">
        <f t="shared" si="53"/>
        <v>64</v>
      </c>
      <c r="AC20" s="265">
        <f t="shared" si="53"/>
        <v>21</v>
      </c>
      <c r="AD20" s="265">
        <f t="shared" si="53"/>
        <v>29</v>
      </c>
      <c r="AE20" s="265">
        <f t="shared" si="53"/>
        <v>23</v>
      </c>
      <c r="AF20" s="993">
        <f t="shared" si="53"/>
        <v>137</v>
      </c>
      <c r="AG20" s="265">
        <f t="shared" si="53"/>
        <v>75</v>
      </c>
      <c r="AH20" s="265">
        <f t="shared" si="53"/>
        <v>37</v>
      </c>
      <c r="AI20" s="265">
        <f t="shared" si="53"/>
        <v>42</v>
      </c>
      <c r="AJ20" s="265">
        <f t="shared" si="53"/>
        <v>38</v>
      </c>
      <c r="AK20" s="993">
        <f t="shared" si="53"/>
        <v>192</v>
      </c>
      <c r="AL20" s="265">
        <f t="shared" si="53"/>
        <v>87</v>
      </c>
      <c r="AM20" s="265">
        <f t="shared" si="53"/>
        <v>36</v>
      </c>
      <c r="AN20" s="265">
        <f>AN16-AN24</f>
        <v>49</v>
      </c>
      <c r="AO20" s="265">
        <f t="shared" si="54" ref="AO20:AQ20">AO16-AO24</f>
        <v>61</v>
      </c>
      <c r="AP20" s="993">
        <f t="shared" si="54"/>
        <v>233</v>
      </c>
      <c r="AQ20" s="265">
        <f t="shared" si="54"/>
        <v>111</v>
      </c>
      <c r="AR20" s="265">
        <f t="shared" si="43"/>
        <v>65</v>
      </c>
      <c r="AS20" s="265">
        <f t="shared" si="43"/>
        <v>90</v>
      </c>
      <c r="AT20" s="265">
        <f t="shared" si="44"/>
        <v>83</v>
      </c>
      <c r="AU20" s="993">
        <f t="shared" si="44"/>
        <v>349</v>
      </c>
      <c r="AV20" s="265">
        <f t="shared" si="45"/>
        <v>127</v>
      </c>
      <c r="AW20" s="265">
        <f t="shared" si="46"/>
        <v>74</v>
      </c>
      <c r="AX20" s="265">
        <f t="shared" si="46"/>
        <v>79</v>
      </c>
      <c r="AY20" s="265">
        <f t="shared" si="47"/>
        <v>70</v>
      </c>
      <c r="AZ20" s="993">
        <f t="shared" si="47"/>
        <v>350</v>
      </c>
      <c r="BA20" s="265">
        <f t="shared" si="48"/>
        <v>124</v>
      </c>
      <c r="BB20" s="265">
        <f t="shared" si="48"/>
        <v>71</v>
      </c>
      <c r="BC20" s="265">
        <f t="shared" si="49"/>
        <v>79</v>
      </c>
      <c r="BD20" s="265">
        <f t="shared" si="49"/>
        <v>71</v>
      </c>
      <c r="BE20" s="993">
        <f t="shared" si="49"/>
        <v>345</v>
      </c>
      <c r="BF20" s="265">
        <f t="shared" si="50"/>
        <v>133</v>
      </c>
      <c r="BG20" s="265">
        <f t="shared" si="50"/>
        <v>87</v>
      </c>
      <c r="BH20" s="745">
        <f>BH16-BH24</f>
        <v>93</v>
      </c>
      <c r="BI20" s="210">
        <f t="shared" si="49"/>
        <v>70.966999999999985</v>
      </c>
      <c r="BJ20" s="994">
        <f>SUM(BF20,BG20,BH20,BI20)</f>
        <v>383.96699999999998</v>
      </c>
      <c r="BK20" s="210">
        <f t="shared" si="51"/>
        <v>72.038199999999961</v>
      </c>
      <c r="BL20" s="210">
        <f t="shared" si="51"/>
        <v>75.452649999999949</v>
      </c>
      <c r="BM20" s="210">
        <f t="shared" si="51"/>
        <v>77.99675000000002</v>
      </c>
      <c r="BN20" s="210">
        <f t="shared" si="51"/>
        <v>73.096009999999978</v>
      </c>
      <c r="BO20" s="994">
        <f>SUM(BK20,BL20,BM20,BN20)</f>
        <v>298.58360999999991</v>
      </c>
      <c r="BP20" s="994">
        <f t="shared" si="52"/>
        <v>310.52695439999934</v>
      </c>
      <c r="BQ20" s="994">
        <f t="shared" si="52"/>
        <v>322.9480325759996</v>
      </c>
      <c r="BR20" s="994">
        <f t="shared" si="52"/>
        <v>335.86595387903981</v>
      </c>
      <c r="BS20" s="833"/>
    </row>
    <row r="21" spans="1:71" s="24" customFormat="1" ht="15" hidden="1" outlineLevel="1">
      <c r="A21" s="179" t="s">
        <v>26</v>
      </c>
      <c r="B21" s="446"/>
      <c r="C21" s="995">
        <f t="shared" si="55" ref="C21:AM21">C17-C25</f>
        <v>325</v>
      </c>
      <c r="D21" s="995">
        <f t="shared" si="55"/>
        <v>310</v>
      </c>
      <c r="E21" s="995">
        <f t="shared" si="55"/>
        <v>316</v>
      </c>
      <c r="F21" s="995">
        <f t="shared" si="55"/>
        <v>329</v>
      </c>
      <c r="G21" s="995">
        <f t="shared" si="55"/>
        <v>309</v>
      </c>
      <c r="H21" s="186">
        <f t="shared" si="55"/>
        <v>30</v>
      </c>
      <c r="I21" s="186">
        <f t="shared" si="55"/>
        <v>23</v>
      </c>
      <c r="J21" s="186">
        <f t="shared" si="55"/>
        <v>42</v>
      </c>
      <c r="K21" s="186">
        <f t="shared" si="55"/>
        <v>5</v>
      </c>
      <c r="L21" s="995">
        <f t="shared" si="55"/>
        <v>100</v>
      </c>
      <c r="M21" s="186">
        <f t="shared" si="55"/>
        <v>54</v>
      </c>
      <c r="N21" s="186">
        <f t="shared" si="55"/>
        <v>22</v>
      </c>
      <c r="O21" s="186">
        <f t="shared" si="55"/>
        <v>21</v>
      </c>
      <c r="P21" s="186">
        <f t="shared" si="55"/>
        <v>8</v>
      </c>
      <c r="Q21" s="995">
        <f t="shared" si="55"/>
        <v>105</v>
      </c>
      <c r="R21" s="186">
        <f t="shared" si="55"/>
        <v>52</v>
      </c>
      <c r="S21" s="186">
        <f t="shared" si="55"/>
        <v>16</v>
      </c>
      <c r="T21" s="186">
        <f t="shared" si="55"/>
        <v>27</v>
      </c>
      <c r="U21" s="186">
        <f t="shared" si="55"/>
        <v>9</v>
      </c>
      <c r="V21" s="995">
        <f t="shared" si="55"/>
        <v>104</v>
      </c>
      <c r="W21" s="186">
        <f t="shared" si="55"/>
        <v>50</v>
      </c>
      <c r="X21" s="186">
        <f t="shared" si="55"/>
        <v>15</v>
      </c>
      <c r="Y21" s="186">
        <f t="shared" si="55"/>
        <v>29</v>
      </c>
      <c r="Z21" s="186">
        <f t="shared" si="55"/>
        <v>11</v>
      </c>
      <c r="AA21" s="995">
        <f t="shared" si="55"/>
        <v>105</v>
      </c>
      <c r="AB21" s="186">
        <f t="shared" si="55"/>
        <v>53</v>
      </c>
      <c r="AC21" s="186">
        <f t="shared" si="55"/>
        <v>20</v>
      </c>
      <c r="AD21" s="186">
        <f t="shared" si="55"/>
        <v>27</v>
      </c>
      <c r="AE21" s="186">
        <f t="shared" si="55"/>
        <v>8</v>
      </c>
      <c r="AF21" s="995">
        <f t="shared" si="55"/>
        <v>108</v>
      </c>
      <c r="AG21" s="186">
        <f t="shared" si="55"/>
        <v>140</v>
      </c>
      <c r="AH21" s="186">
        <f t="shared" si="55"/>
        <v>18</v>
      </c>
      <c r="AI21" s="186">
        <f t="shared" si="55"/>
        <v>29</v>
      </c>
      <c r="AJ21" s="186">
        <f t="shared" si="55"/>
        <v>11</v>
      </c>
      <c r="AK21" s="995">
        <f t="shared" si="55"/>
        <v>198</v>
      </c>
      <c r="AL21" s="186">
        <f t="shared" si="55"/>
        <v>115</v>
      </c>
      <c r="AM21" s="186">
        <f t="shared" si="55"/>
        <v>19</v>
      </c>
      <c r="AN21" s="186">
        <f>AN17-AN25</f>
        <v>26</v>
      </c>
      <c r="AO21" s="186">
        <f t="shared" si="56" ref="AO21:AQ21">AO17-AO25</f>
        <v>9</v>
      </c>
      <c r="AP21" s="995">
        <f t="shared" si="56"/>
        <v>169</v>
      </c>
      <c r="AQ21" s="186">
        <f t="shared" si="56"/>
        <v>140</v>
      </c>
      <c r="AR21" s="186">
        <f t="shared" si="43"/>
        <v>21</v>
      </c>
      <c r="AS21" s="186">
        <f t="shared" si="43"/>
        <v>30</v>
      </c>
      <c r="AT21" s="186">
        <f t="shared" si="44"/>
        <v>8</v>
      </c>
      <c r="AU21" s="995">
        <f t="shared" si="44"/>
        <v>199</v>
      </c>
      <c r="AV21" s="186">
        <f t="shared" si="45"/>
        <v>143</v>
      </c>
      <c r="AW21" s="186">
        <f t="shared" si="46"/>
        <v>29</v>
      </c>
      <c r="AX21" s="186">
        <f t="shared" si="46"/>
        <v>41</v>
      </c>
      <c r="AY21" s="186">
        <f t="shared" si="47"/>
        <v>13</v>
      </c>
      <c r="AZ21" s="995">
        <f t="shared" si="47"/>
        <v>226</v>
      </c>
      <c r="BA21" s="186">
        <f t="shared" si="48"/>
        <v>156</v>
      </c>
      <c r="BB21" s="186">
        <f t="shared" si="48"/>
        <v>31</v>
      </c>
      <c r="BC21" s="186">
        <f t="shared" si="49"/>
        <v>86</v>
      </c>
      <c r="BD21" s="186">
        <f t="shared" si="49"/>
        <v>14</v>
      </c>
      <c r="BE21" s="995">
        <f t="shared" si="49"/>
        <v>287</v>
      </c>
      <c r="BF21" s="186">
        <f t="shared" si="50"/>
        <v>208</v>
      </c>
      <c r="BG21" s="186">
        <f t="shared" si="50"/>
        <v>33</v>
      </c>
      <c r="BH21" s="746">
        <f>BH17-BH25</f>
        <v>83</v>
      </c>
      <c r="BI21" s="205">
        <f t="shared" si="49"/>
        <v>84.821200000000317</v>
      </c>
      <c r="BJ21" s="996">
        <f>SUM(BF21,BG21,BH21,BI21)</f>
        <v>408.82120000000032</v>
      </c>
      <c r="BK21" s="205">
        <f t="shared" si="51"/>
        <v>81.641200000000026</v>
      </c>
      <c r="BL21" s="205">
        <f t="shared" si="51"/>
        <v>96.862799999999879</v>
      </c>
      <c r="BM21" s="205">
        <f t="shared" si="51"/>
        <v>101.99319999999989</v>
      </c>
      <c r="BN21" s="205">
        <f t="shared" si="51"/>
        <v>89.910472000000482</v>
      </c>
      <c r="BO21" s="996">
        <f>SUM(BK21,BL21,BM21,BN21)</f>
        <v>370.40767200000028</v>
      </c>
      <c r="BP21" s="996">
        <f t="shared" si="52"/>
        <v>392.63213231999907</v>
      </c>
      <c r="BQ21" s="996">
        <f t="shared" si="52"/>
        <v>416.19006025919953</v>
      </c>
      <c r="BR21" s="996">
        <f t="shared" si="52"/>
        <v>441.16146387475237</v>
      </c>
      <c r="BS21" s="833"/>
    </row>
    <row r="22" spans="1:71" s="181" customFormat="1" ht="15" hidden="1" outlineLevel="1">
      <c r="A22" s="88" t="s">
        <v>27</v>
      </c>
      <c r="B22" s="448"/>
      <c r="C22" s="999">
        <f t="shared" si="57" ref="C22:J22">C18-C26</f>
        <v>1949</v>
      </c>
      <c r="D22" s="999">
        <f t="shared" si="57"/>
        <v>1667</v>
      </c>
      <c r="E22" s="999">
        <f t="shared" si="57"/>
        <v>1700</v>
      </c>
      <c r="F22" s="999">
        <f t="shared" si="57"/>
        <v>1862</v>
      </c>
      <c r="G22" s="999">
        <f t="shared" si="57"/>
        <v>1890</v>
      </c>
      <c r="H22" s="99">
        <f t="shared" si="57"/>
        <v>528</v>
      </c>
      <c r="I22" s="99">
        <f t="shared" si="57"/>
        <v>357</v>
      </c>
      <c r="J22" s="99">
        <f t="shared" si="57"/>
        <v>545</v>
      </c>
      <c r="K22" s="99">
        <f>SUM(K19:K21)</f>
        <v>298</v>
      </c>
      <c r="L22" s="999">
        <f>L18-L26</f>
        <v>1728</v>
      </c>
      <c r="M22" s="99">
        <f>M18-M26</f>
        <v>577</v>
      </c>
      <c r="N22" s="99">
        <f>N18-N26</f>
        <v>373</v>
      </c>
      <c r="O22" s="99">
        <f>O18-O26</f>
        <v>427</v>
      </c>
      <c r="P22" s="99">
        <f>SUM(P19:P21)</f>
        <v>284</v>
      </c>
      <c r="Q22" s="999">
        <f>Q18-Q26</f>
        <v>1661</v>
      </c>
      <c r="R22" s="99">
        <f>R18-R26</f>
        <v>546</v>
      </c>
      <c r="S22" s="99">
        <f>S18-S26</f>
        <v>343</v>
      </c>
      <c r="T22" s="99">
        <f>T18-T26</f>
        <v>409</v>
      </c>
      <c r="U22" s="99">
        <f>SUM(U19:U21)</f>
        <v>239</v>
      </c>
      <c r="V22" s="999">
        <f>V18-V26</f>
        <v>1537</v>
      </c>
      <c r="W22" s="99">
        <f>W18-W26</f>
        <v>523</v>
      </c>
      <c r="X22" s="99">
        <f>X18-X26</f>
        <v>287</v>
      </c>
      <c r="Y22" s="99">
        <f>Y18-Y26</f>
        <v>403</v>
      </c>
      <c r="Z22" s="99">
        <f>SUM(Z19:Z21)</f>
        <v>216</v>
      </c>
      <c r="AA22" s="999">
        <f>AA18-AA26</f>
        <v>1429</v>
      </c>
      <c r="AB22" s="99">
        <f>AB18-AB26</f>
        <v>594</v>
      </c>
      <c r="AC22" s="99">
        <f>AC18-AC26</f>
        <v>298</v>
      </c>
      <c r="AD22" s="99">
        <f>AD18-AD26</f>
        <v>400</v>
      </c>
      <c r="AE22" s="99">
        <f>SUM(AE19:AE21)</f>
        <v>252</v>
      </c>
      <c r="AF22" s="999">
        <f>AF18-AF26</f>
        <v>1544</v>
      </c>
      <c r="AG22" s="99">
        <f>AG18-AG26</f>
        <v>782</v>
      </c>
      <c r="AH22" s="99">
        <f>AH18-AH26</f>
        <v>374</v>
      </c>
      <c r="AI22" s="99">
        <f>AI18-AI26</f>
        <v>453</v>
      </c>
      <c r="AJ22" s="99">
        <f>SUM(AJ19:AJ21)</f>
        <v>303</v>
      </c>
      <c r="AK22" s="999">
        <f>AK18-AK26</f>
        <v>1912</v>
      </c>
      <c r="AL22" s="99">
        <f>AL18-AL26</f>
        <v>806</v>
      </c>
      <c r="AM22" s="99">
        <f>AM18-AM26</f>
        <v>405</v>
      </c>
      <c r="AN22" s="99">
        <f>AN18-AN26</f>
        <v>472</v>
      </c>
      <c r="AO22" s="99">
        <f>SUM(AO19:AO21)</f>
        <v>348</v>
      </c>
      <c r="AP22" s="999">
        <f>AP18-AP26</f>
        <v>2031</v>
      </c>
      <c r="AQ22" s="99">
        <f>AQ18-AQ26</f>
        <v>902</v>
      </c>
      <c r="AR22" s="99">
        <f t="shared" si="43"/>
        <v>462</v>
      </c>
      <c r="AS22" s="99">
        <f t="shared" si="43"/>
        <v>552</v>
      </c>
      <c r="AT22" s="99">
        <f>SUM(AT19:AT21)</f>
        <v>362</v>
      </c>
      <c r="AU22" s="999">
        <f>AU18-AU26</f>
        <v>2278</v>
      </c>
      <c r="AV22" s="99">
        <f t="shared" si="45"/>
        <v>916</v>
      </c>
      <c r="AW22" s="99">
        <f t="shared" si="46"/>
        <v>516</v>
      </c>
      <c r="AX22" s="99">
        <f t="shared" si="46"/>
        <v>614</v>
      </c>
      <c r="AY22" s="99">
        <f>SUM(AY19:AY21)</f>
        <v>416</v>
      </c>
      <c r="AZ22" s="999">
        <f>AZ18-AZ26</f>
        <v>2462</v>
      </c>
      <c r="BA22" s="99">
        <f t="shared" si="48"/>
        <v>951</v>
      </c>
      <c r="BB22" s="99">
        <f t="shared" si="48"/>
        <v>589</v>
      </c>
      <c r="BC22" s="99">
        <f>BC18-BC26</f>
        <v>770</v>
      </c>
      <c r="BD22" s="99">
        <f>SUM(BD19:BD21)</f>
        <v>461</v>
      </c>
      <c r="BE22" s="999">
        <f>BE18-BE26</f>
        <v>2771</v>
      </c>
      <c r="BF22" s="99">
        <f t="shared" si="50"/>
        <v>1126</v>
      </c>
      <c r="BG22" s="99">
        <f t="shared" si="50"/>
        <v>750</v>
      </c>
      <c r="BH22" s="748">
        <f>BH18-BH26</f>
        <v>832</v>
      </c>
      <c r="BI22" s="647">
        <f>BI18-BI26</f>
        <v>544.69560000000092</v>
      </c>
      <c r="BJ22" s="1000">
        <f>SUM(BJ19:BJ21)</f>
        <v>3252.6956000000005</v>
      </c>
      <c r="BK22" s="647">
        <f t="shared" si="51"/>
        <v>613.89369999999872</v>
      </c>
      <c r="BL22" s="647">
        <f t="shared" si="51"/>
        <v>617.1003499999988</v>
      </c>
      <c r="BM22" s="647">
        <f t="shared" si="51"/>
        <v>625.06324999999924</v>
      </c>
      <c r="BN22" s="647">
        <f t="shared" si="51"/>
        <v>563.58110400000078</v>
      </c>
      <c r="BO22" s="1000">
        <f>SUM(BO19:BO21)</f>
        <v>2419.6384039999994</v>
      </c>
      <c r="BP22" s="1000">
        <f>SUM(BP19:BP21)</f>
        <v>3241.5974136200011</v>
      </c>
      <c r="BQ22" s="1000">
        <f>SUM(BQ19:BQ21)</f>
        <v>3315.6529946387</v>
      </c>
      <c r="BR22" s="1000">
        <f>SUM(BR19:BR21)</f>
        <v>3392.1900430843471</v>
      </c>
      <c r="BS22" s="423"/>
    </row>
    <row r="23" spans="1:71" s="24" customFormat="1" ht="15" collapsed="1">
      <c r="A23" s="263" t="s">
        <v>28</v>
      </c>
      <c r="B23" s="445"/>
      <c r="C23" s="993">
        <f t="shared" si="58" ref="C23:AM23">C202</f>
        <v>10902</v>
      </c>
      <c r="D23" s="993">
        <f t="shared" si="58"/>
        <v>10857</v>
      </c>
      <c r="E23" s="993">
        <f t="shared" si="58"/>
        <v>11340</v>
      </c>
      <c r="F23" s="993">
        <f t="shared" si="58"/>
        <v>11872</v>
      </c>
      <c r="G23" s="993">
        <f t="shared" si="58"/>
        <v>13512</v>
      </c>
      <c r="H23" s="265">
        <f t="shared" si="58"/>
        <v>3772</v>
      </c>
      <c r="I23" s="265">
        <f t="shared" si="58"/>
        <v>3735</v>
      </c>
      <c r="J23" s="265">
        <f t="shared" si="58"/>
        <v>3560</v>
      </c>
      <c r="K23" s="265">
        <f t="shared" si="58"/>
        <v>3575</v>
      </c>
      <c r="L23" s="993">
        <f t="shared" si="58"/>
        <v>14642</v>
      </c>
      <c r="M23" s="265">
        <f t="shared" si="58"/>
        <v>3797</v>
      </c>
      <c r="N23" s="265">
        <f t="shared" si="58"/>
        <v>3679</v>
      </c>
      <c r="O23" s="265">
        <f t="shared" si="58"/>
        <v>3590</v>
      </c>
      <c r="P23" s="265">
        <f t="shared" si="58"/>
        <v>3517</v>
      </c>
      <c r="Q23" s="993">
        <f t="shared" si="58"/>
        <v>14583</v>
      </c>
      <c r="R23" s="265">
        <f t="shared" si="58"/>
        <v>3760</v>
      </c>
      <c r="S23" s="265">
        <f t="shared" si="58"/>
        <v>3472</v>
      </c>
      <c r="T23" s="265">
        <f t="shared" si="58"/>
        <v>3388</v>
      </c>
      <c r="U23" s="265">
        <f t="shared" si="58"/>
        <v>3280</v>
      </c>
      <c r="V23" s="993">
        <f t="shared" si="58"/>
        <v>13900</v>
      </c>
      <c r="W23" s="265">
        <f t="shared" si="58"/>
        <v>3855</v>
      </c>
      <c r="X23" s="265">
        <f t="shared" si="58"/>
        <v>3544</v>
      </c>
      <c r="Y23" s="265">
        <f t="shared" si="58"/>
        <v>3434</v>
      </c>
      <c r="Z23" s="265">
        <f t="shared" si="58"/>
        <v>3437</v>
      </c>
      <c r="AA23" s="993">
        <f t="shared" si="58"/>
        <v>14270</v>
      </c>
      <c r="AB23" s="265">
        <f t="shared" si="58"/>
        <v>3994</v>
      </c>
      <c r="AC23" s="265">
        <f t="shared" si="58"/>
        <v>3781</v>
      </c>
      <c r="AD23" s="265">
        <f t="shared" si="58"/>
        <v>3648</v>
      </c>
      <c r="AE23" s="265">
        <f t="shared" si="58"/>
        <v>3533</v>
      </c>
      <c r="AF23" s="993">
        <f t="shared" si="58"/>
        <v>14956</v>
      </c>
      <c r="AG23" s="265">
        <f t="shared" si="58"/>
        <v>4163</v>
      </c>
      <c r="AH23" s="265">
        <f t="shared" si="58"/>
        <v>3874</v>
      </c>
      <c r="AI23" s="265">
        <f t="shared" si="58"/>
        <v>3889</v>
      </c>
      <c r="AJ23" s="265">
        <f t="shared" si="58"/>
        <v>3703</v>
      </c>
      <c r="AK23" s="993">
        <f t="shared" si="58"/>
        <v>15629</v>
      </c>
      <c r="AL23" s="265">
        <f t="shared" si="58"/>
        <v>4190</v>
      </c>
      <c r="AM23" s="265">
        <f t="shared" si="58"/>
        <v>3777</v>
      </c>
      <c r="AN23" s="265">
        <f>AN202</f>
        <v>3833</v>
      </c>
      <c r="AO23" s="265">
        <f t="shared" si="59" ref="AO23:AQ23">AO202</f>
        <v>3631</v>
      </c>
      <c r="AP23" s="993">
        <f t="shared" si="59"/>
        <v>15431</v>
      </c>
      <c r="AQ23" s="265">
        <f t="shared" si="59"/>
        <v>4125</v>
      </c>
      <c r="AR23" s="265">
        <f t="shared" si="60" ref="AR23:AW23">AR202</f>
        <v>3980</v>
      </c>
      <c r="AS23" s="265">
        <f t="shared" si="60"/>
        <v>4021</v>
      </c>
      <c r="AT23" s="265">
        <f t="shared" si="60"/>
        <v>3973</v>
      </c>
      <c r="AU23" s="993">
        <f t="shared" si="60"/>
        <v>16099</v>
      </c>
      <c r="AV23" s="265">
        <f t="shared" si="60"/>
        <v>4502</v>
      </c>
      <c r="AW23" s="265">
        <f t="shared" si="60"/>
        <v>4373</v>
      </c>
      <c r="AX23" s="265">
        <f t="shared" si="61" ref="AX23:BC23">AX202</f>
        <v>4370</v>
      </c>
      <c r="AY23" s="265">
        <f t="shared" si="61"/>
        <v>4390</v>
      </c>
      <c r="AZ23" s="993">
        <f t="shared" si="61"/>
        <v>17635</v>
      </c>
      <c r="BA23" s="265">
        <f t="shared" si="61"/>
        <v>5157</v>
      </c>
      <c r="BB23" s="265">
        <f t="shared" si="61"/>
        <v>5175</v>
      </c>
      <c r="BC23" s="265">
        <f t="shared" si="61"/>
        <v>5080</v>
      </c>
      <c r="BD23" s="265">
        <f>BD202</f>
        <v>5018</v>
      </c>
      <c r="BE23" s="993">
        <f>BE202</f>
        <v>20430</v>
      </c>
      <c r="BF23" s="265">
        <f>BF202</f>
        <v>5598</v>
      </c>
      <c r="BG23" s="265">
        <f>BG202</f>
        <v>5539</v>
      </c>
      <c r="BH23" s="745">
        <f>BH202</f>
        <v>5517</v>
      </c>
      <c r="BI23" s="210">
        <f t="shared" si="62" ref="BI23:BI25">BI15*BI82</f>
        <v>5166.9125999999997</v>
      </c>
      <c r="BJ23" s="994">
        <f>SUM(BF23,BG23,BH23,BI23)</f>
        <v>21820.9126</v>
      </c>
      <c r="BK23" s="210">
        <f t="shared" si="63" ref="BK23:BN25">BK15*BK82</f>
        <v>6114.2757000000001</v>
      </c>
      <c r="BL23" s="210">
        <f t="shared" si="63"/>
        <v>5909.285100000001</v>
      </c>
      <c r="BM23" s="210">
        <f t="shared" si="63"/>
        <v>5913.1167000000005</v>
      </c>
      <c r="BN23" s="210">
        <f t="shared" si="63"/>
        <v>5321.9199779999999</v>
      </c>
      <c r="BO23" s="994">
        <f>SUM(BK23,BL23,BM23,BN23)</f>
        <v>23258.597478000003</v>
      </c>
      <c r="BP23" s="994">
        <f t="shared" si="64" ref="BP23:BR25">BP15*BP82</f>
        <v>22845.944942099992</v>
      </c>
      <c r="BQ23" s="994">
        <f t="shared" si="64"/>
        <v>23188.634116231489</v>
      </c>
      <c r="BR23" s="994">
        <f t="shared" si="64"/>
        <v>23536.463627974957</v>
      </c>
      <c r="BS23" s="833"/>
    </row>
    <row r="24" spans="1:71" s="24" customFormat="1" ht="15">
      <c r="A24" s="263" t="s">
        <v>29</v>
      </c>
      <c r="B24" s="445"/>
      <c r="C24" s="993">
        <f t="shared" si="65" ref="C24:AM24">C260</f>
        <v>3285</v>
      </c>
      <c r="D24" s="993">
        <f t="shared" si="65"/>
        <v>3211</v>
      </c>
      <c r="E24" s="993">
        <f t="shared" si="65"/>
        <v>3102</v>
      </c>
      <c r="F24" s="993">
        <f t="shared" si="65"/>
        <v>2981</v>
      </c>
      <c r="G24" s="993">
        <f t="shared" si="65"/>
        <v>2030</v>
      </c>
      <c r="H24" s="265">
        <f t="shared" si="65"/>
        <v>482</v>
      </c>
      <c r="I24" s="265">
        <f t="shared" si="65"/>
        <v>540</v>
      </c>
      <c r="J24" s="265">
        <f t="shared" si="65"/>
        <v>556</v>
      </c>
      <c r="K24" s="265">
        <f t="shared" si="65"/>
        <v>525</v>
      </c>
      <c r="L24" s="993">
        <f t="shared" si="65"/>
        <v>2103</v>
      </c>
      <c r="M24" s="265">
        <f t="shared" si="65"/>
        <v>478</v>
      </c>
      <c r="N24" s="265">
        <f t="shared" si="65"/>
        <v>534</v>
      </c>
      <c r="O24" s="265">
        <f t="shared" si="65"/>
        <v>565</v>
      </c>
      <c r="P24" s="265">
        <f t="shared" si="65"/>
        <v>504</v>
      </c>
      <c r="Q24" s="993">
        <f t="shared" si="65"/>
        <v>2081</v>
      </c>
      <c r="R24" s="265">
        <f t="shared" si="65"/>
        <v>522</v>
      </c>
      <c r="S24" s="265">
        <f t="shared" si="65"/>
        <v>570</v>
      </c>
      <c r="T24" s="265">
        <f t="shared" si="65"/>
        <v>600</v>
      </c>
      <c r="U24" s="265">
        <f t="shared" si="65"/>
        <v>579</v>
      </c>
      <c r="V24" s="993">
        <f t="shared" si="65"/>
        <v>2271</v>
      </c>
      <c r="W24" s="265">
        <f t="shared" si="65"/>
        <v>544</v>
      </c>
      <c r="X24" s="265">
        <f t="shared" si="65"/>
        <v>598</v>
      </c>
      <c r="Y24" s="265">
        <f t="shared" si="65"/>
        <v>611</v>
      </c>
      <c r="Z24" s="265">
        <f t="shared" si="65"/>
        <v>606</v>
      </c>
      <c r="AA24" s="993">
        <f t="shared" si="65"/>
        <v>2359</v>
      </c>
      <c r="AB24" s="265">
        <f t="shared" si="65"/>
        <v>574</v>
      </c>
      <c r="AC24" s="265">
        <f t="shared" si="65"/>
        <v>653</v>
      </c>
      <c r="AD24" s="265">
        <f t="shared" si="65"/>
        <v>644</v>
      </c>
      <c r="AE24" s="265">
        <f t="shared" si="65"/>
        <v>657</v>
      </c>
      <c r="AF24" s="993">
        <f t="shared" si="65"/>
        <v>2528</v>
      </c>
      <c r="AG24" s="265">
        <f t="shared" si="65"/>
        <v>587</v>
      </c>
      <c r="AH24" s="265">
        <f t="shared" si="65"/>
        <v>710</v>
      </c>
      <c r="AI24" s="265">
        <f t="shared" si="65"/>
        <v>728</v>
      </c>
      <c r="AJ24" s="265">
        <f t="shared" si="65"/>
        <v>714</v>
      </c>
      <c r="AK24" s="993">
        <f t="shared" si="65"/>
        <v>2739</v>
      </c>
      <c r="AL24" s="265">
        <f t="shared" si="65"/>
        <v>663</v>
      </c>
      <c r="AM24" s="265">
        <f t="shared" si="65"/>
        <v>734</v>
      </c>
      <c r="AN24" s="265">
        <f>AN260</f>
        <v>754</v>
      </c>
      <c r="AO24" s="265">
        <f t="shared" si="66" ref="AO24:AQ24">AO260</f>
        <v>800</v>
      </c>
      <c r="AP24" s="993">
        <f t="shared" si="66"/>
        <v>2951</v>
      </c>
      <c r="AQ24" s="265">
        <f t="shared" si="66"/>
        <v>723</v>
      </c>
      <c r="AR24" s="265">
        <f t="shared" si="67" ref="AR24:AW24">AR260</f>
        <v>854</v>
      </c>
      <c r="AS24" s="265">
        <f t="shared" si="67"/>
        <v>894</v>
      </c>
      <c r="AT24" s="265">
        <f t="shared" si="67"/>
        <v>905</v>
      </c>
      <c r="AU24" s="993">
        <f t="shared" si="67"/>
        <v>3376</v>
      </c>
      <c r="AV24" s="265">
        <f t="shared" si="67"/>
        <v>882</v>
      </c>
      <c r="AW24" s="265">
        <f t="shared" si="67"/>
        <v>962</v>
      </c>
      <c r="AX24" s="265">
        <f t="shared" si="68" ref="AX24:BC24">AX260</f>
        <v>964</v>
      </c>
      <c r="AY24" s="265">
        <f t="shared" si="68"/>
        <v>924</v>
      </c>
      <c r="AZ24" s="993">
        <f t="shared" si="68"/>
        <v>3732</v>
      </c>
      <c r="BA24" s="265">
        <f t="shared" si="68"/>
        <v>886</v>
      </c>
      <c r="BB24" s="265">
        <f t="shared" si="68"/>
        <v>964</v>
      </c>
      <c r="BC24" s="265">
        <f t="shared" si="68"/>
        <v>1003</v>
      </c>
      <c r="BD24" s="265">
        <f>BD260</f>
        <v>989</v>
      </c>
      <c r="BE24" s="993">
        <f>BE260</f>
        <v>3842</v>
      </c>
      <c r="BF24" s="265">
        <f>BF260</f>
        <v>943</v>
      </c>
      <c r="BG24" s="265">
        <f>BG260</f>
        <v>1040</v>
      </c>
      <c r="BH24" s="745">
        <f>BH260</f>
        <v>1072</v>
      </c>
      <c r="BI24" s="210">
        <f t="shared" si="62"/>
        <v>1020.833</v>
      </c>
      <c r="BJ24" s="994">
        <f>SUM(BF24,BG24,BH24,BI24)</f>
        <v>4075.8330000000001</v>
      </c>
      <c r="BK24" s="210">
        <f t="shared" si="63"/>
        <v>1036.2418</v>
      </c>
      <c r="BL24" s="210">
        <f t="shared" si="63"/>
        <v>1085.35735</v>
      </c>
      <c r="BM24" s="210">
        <f t="shared" si="63"/>
        <v>1121.95325</v>
      </c>
      <c r="BN24" s="210">
        <f t="shared" si="63"/>
        <v>1051.4579900000001</v>
      </c>
      <c r="BO24" s="994">
        <f>SUM(BK24,BL24,BM24,BN24)</f>
        <v>4295.0103900000004</v>
      </c>
      <c r="BP24" s="994">
        <f t="shared" si="64"/>
        <v>4466.810805600001</v>
      </c>
      <c r="BQ24" s="994">
        <f t="shared" si="64"/>
        <v>4645.4832378240008</v>
      </c>
      <c r="BR24" s="994">
        <f t="shared" si="64"/>
        <v>4831.3025673369611</v>
      </c>
      <c r="BS24" s="833"/>
    </row>
    <row r="25" spans="1:71" s="24" customFormat="1" ht="15">
      <c r="A25" s="60" t="s">
        <v>30</v>
      </c>
      <c r="B25" s="446"/>
      <c r="C25" s="995">
        <f t="shared" si="69" ref="C25:AM25">C311</f>
        <v>7149</v>
      </c>
      <c r="D25" s="995">
        <f t="shared" si="69"/>
        <v>7567</v>
      </c>
      <c r="E25" s="995">
        <f t="shared" si="69"/>
        <v>7745</v>
      </c>
      <c r="F25" s="995">
        <f t="shared" si="69"/>
        <v>7594</v>
      </c>
      <c r="G25" s="995">
        <f t="shared" si="69"/>
        <v>7225</v>
      </c>
      <c r="H25" s="186">
        <f t="shared" si="69"/>
        <v>1619</v>
      </c>
      <c r="I25" s="186">
        <f t="shared" si="69"/>
        <v>1893</v>
      </c>
      <c r="J25" s="186">
        <f t="shared" si="69"/>
        <v>1917</v>
      </c>
      <c r="K25" s="186">
        <f t="shared" si="69"/>
        <v>1736</v>
      </c>
      <c r="L25" s="995">
        <f t="shared" si="69"/>
        <v>7165</v>
      </c>
      <c r="M25" s="186">
        <f t="shared" si="69"/>
        <v>1622</v>
      </c>
      <c r="N25" s="186">
        <f t="shared" si="69"/>
        <v>1956</v>
      </c>
      <c r="O25" s="186">
        <f t="shared" si="69"/>
        <v>2036</v>
      </c>
      <c r="P25" s="186">
        <f t="shared" si="69"/>
        <v>1843</v>
      </c>
      <c r="Q25" s="995">
        <f t="shared" si="69"/>
        <v>7457</v>
      </c>
      <c r="R25" s="186">
        <f t="shared" si="69"/>
        <v>1884</v>
      </c>
      <c r="S25" s="186">
        <f t="shared" si="69"/>
        <v>2303</v>
      </c>
      <c r="T25" s="186">
        <f t="shared" si="69"/>
        <v>2401</v>
      </c>
      <c r="U25" s="186">
        <f t="shared" si="69"/>
        <v>2199</v>
      </c>
      <c r="V25" s="995">
        <f t="shared" si="69"/>
        <v>8787</v>
      </c>
      <c r="W25" s="186">
        <f t="shared" si="69"/>
        <v>2096</v>
      </c>
      <c r="X25" s="186">
        <f t="shared" si="69"/>
        <v>2498</v>
      </c>
      <c r="Y25" s="186">
        <f t="shared" si="69"/>
        <v>2615</v>
      </c>
      <c r="Z25" s="186">
        <f t="shared" si="69"/>
        <v>2381</v>
      </c>
      <c r="AA25" s="995">
        <f t="shared" si="69"/>
        <v>9590</v>
      </c>
      <c r="AB25" s="186">
        <f t="shared" si="69"/>
        <v>2256</v>
      </c>
      <c r="AC25" s="186">
        <f t="shared" si="69"/>
        <v>2697</v>
      </c>
      <c r="AD25" s="186">
        <f t="shared" si="69"/>
        <v>2770</v>
      </c>
      <c r="AE25" s="186">
        <f t="shared" si="69"/>
        <v>2501</v>
      </c>
      <c r="AF25" s="995">
        <f t="shared" si="69"/>
        <v>10224</v>
      </c>
      <c r="AG25" s="186">
        <f t="shared" si="69"/>
        <v>2307</v>
      </c>
      <c r="AH25" s="186">
        <f t="shared" si="69"/>
        <v>2866</v>
      </c>
      <c r="AI25" s="186">
        <f t="shared" si="69"/>
        <v>2952</v>
      </c>
      <c r="AJ25" s="186">
        <f t="shared" si="69"/>
        <v>2658</v>
      </c>
      <c r="AK25" s="995">
        <f t="shared" si="69"/>
        <v>10783</v>
      </c>
      <c r="AL25" s="186">
        <f t="shared" si="69"/>
        <v>2493</v>
      </c>
      <c r="AM25" s="186">
        <f t="shared" si="69"/>
        <v>2835</v>
      </c>
      <c r="AN25" s="186">
        <f>AN311</f>
        <v>3184</v>
      </c>
      <c r="AO25" s="186">
        <f t="shared" si="70" ref="AO25:AQ25">AO311</f>
        <v>2838</v>
      </c>
      <c r="AP25" s="995">
        <f t="shared" si="70"/>
        <v>11350</v>
      </c>
      <c r="AQ25" s="186">
        <f t="shared" si="70"/>
        <v>2657</v>
      </c>
      <c r="AR25" s="186">
        <f t="shared" si="71" ref="AR25:AW25">AR311</f>
        <v>3301</v>
      </c>
      <c r="AS25" s="186">
        <f t="shared" si="71"/>
        <v>3409</v>
      </c>
      <c r="AT25" s="186">
        <f t="shared" si="71"/>
        <v>3124</v>
      </c>
      <c r="AU25" s="995">
        <f t="shared" si="71"/>
        <v>12491</v>
      </c>
      <c r="AV25" s="186">
        <f t="shared" si="71"/>
        <v>2983</v>
      </c>
      <c r="AW25" s="186">
        <f t="shared" si="71"/>
        <v>3685</v>
      </c>
      <c r="AX25" s="186">
        <f t="shared" si="72" ref="AX25:BC25">AX311</f>
        <v>3864</v>
      </c>
      <c r="AY25" s="186">
        <f t="shared" si="72"/>
        <v>3515</v>
      </c>
      <c r="AZ25" s="995">
        <f t="shared" si="72"/>
        <v>14047</v>
      </c>
      <c r="BA25" s="186">
        <f t="shared" si="72"/>
        <v>3353</v>
      </c>
      <c r="BB25" s="186">
        <f t="shared" si="72"/>
        <v>4179</v>
      </c>
      <c r="BC25" s="186">
        <f t="shared" si="72"/>
        <v>4410</v>
      </c>
      <c r="BD25" s="186">
        <f>BD311</f>
        <v>3987</v>
      </c>
      <c r="BE25" s="995">
        <f>BE311</f>
        <v>15929</v>
      </c>
      <c r="BF25" s="186">
        <f>BF311</f>
        <v>3643</v>
      </c>
      <c r="BG25" s="186">
        <f>BG311</f>
        <v>4536</v>
      </c>
      <c r="BH25" s="746">
        <f>BH311</f>
        <v>4728</v>
      </c>
      <c r="BI25" s="205">
        <f t="shared" si="62"/>
        <v>4156.2388000000001</v>
      </c>
      <c r="BJ25" s="996">
        <f>SUM(BF25,BG25,BH25,BI25)</f>
        <v>17063.238799999999</v>
      </c>
      <c r="BK25" s="205">
        <f t="shared" si="63"/>
        <v>4000.4188000000004</v>
      </c>
      <c r="BL25" s="205">
        <f t="shared" si="63"/>
        <v>4746.2772000000004</v>
      </c>
      <c r="BM25" s="205">
        <f t="shared" si="63"/>
        <v>4997.6668</v>
      </c>
      <c r="BN25" s="205">
        <f t="shared" si="63"/>
        <v>4405.613128</v>
      </c>
      <c r="BO25" s="996">
        <f>SUM(BK25,BL25,BM25,BN25)</f>
        <v>18149.975928</v>
      </c>
      <c r="BP25" s="996">
        <f t="shared" si="64"/>
        <v>19238.974483680002</v>
      </c>
      <c r="BQ25" s="996">
        <f t="shared" si="64"/>
        <v>20393.312952700802</v>
      </c>
      <c r="BR25" s="996">
        <f t="shared" si="64"/>
        <v>21616.911729862852</v>
      </c>
      <c r="BS25" s="833"/>
    </row>
    <row r="26" spans="1:71" s="181" customFormat="1" ht="15">
      <c r="A26" s="62" t="s">
        <v>31</v>
      </c>
      <c r="B26" s="447"/>
      <c r="C26" s="997">
        <f t="shared" si="73" ref="C26:AM26">SUM(C23:C25)</f>
        <v>21336</v>
      </c>
      <c r="D26" s="997">
        <f t="shared" si="73"/>
        <v>21635</v>
      </c>
      <c r="E26" s="997">
        <f t="shared" si="73"/>
        <v>22187</v>
      </c>
      <c r="F26" s="997">
        <f t="shared" si="73"/>
        <v>22447</v>
      </c>
      <c r="G26" s="997">
        <f t="shared" si="73"/>
        <v>22767</v>
      </c>
      <c r="H26" s="193">
        <f t="shared" si="73"/>
        <v>5873</v>
      </c>
      <c r="I26" s="193">
        <f t="shared" si="73"/>
        <v>6168</v>
      </c>
      <c r="J26" s="193">
        <f t="shared" si="73"/>
        <v>6033</v>
      </c>
      <c r="K26" s="193">
        <f t="shared" si="73"/>
        <v>5836</v>
      </c>
      <c r="L26" s="997">
        <f t="shared" si="73"/>
        <v>23910</v>
      </c>
      <c r="M26" s="193">
        <f t="shared" si="73"/>
        <v>5897</v>
      </c>
      <c r="N26" s="193">
        <f t="shared" si="73"/>
        <v>6169</v>
      </c>
      <c r="O26" s="193">
        <f t="shared" si="73"/>
        <v>6191</v>
      </c>
      <c r="P26" s="193">
        <f t="shared" si="73"/>
        <v>5864</v>
      </c>
      <c r="Q26" s="997">
        <f t="shared" si="73"/>
        <v>24121</v>
      </c>
      <c r="R26" s="193">
        <f t="shared" si="73"/>
        <v>6166</v>
      </c>
      <c r="S26" s="193">
        <f t="shared" si="73"/>
        <v>6345</v>
      </c>
      <c r="T26" s="193">
        <f t="shared" si="73"/>
        <v>6389</v>
      </c>
      <c r="U26" s="193">
        <f t="shared" si="73"/>
        <v>6058</v>
      </c>
      <c r="V26" s="997">
        <f t="shared" si="73"/>
        <v>24958</v>
      </c>
      <c r="W26" s="193">
        <f t="shared" si="73"/>
        <v>6495</v>
      </c>
      <c r="X26" s="193">
        <f t="shared" si="73"/>
        <v>6640</v>
      </c>
      <c r="Y26" s="193">
        <f t="shared" si="73"/>
        <v>6660</v>
      </c>
      <c r="Z26" s="193">
        <f t="shared" si="73"/>
        <v>6424</v>
      </c>
      <c r="AA26" s="997">
        <f t="shared" si="73"/>
        <v>26219</v>
      </c>
      <c r="AB26" s="193">
        <f t="shared" si="73"/>
        <v>6824</v>
      </c>
      <c r="AC26" s="193">
        <f t="shared" si="73"/>
        <v>7131</v>
      </c>
      <c r="AD26" s="193">
        <f t="shared" si="73"/>
        <v>7062</v>
      </c>
      <c r="AE26" s="193">
        <f t="shared" si="73"/>
        <v>6691</v>
      </c>
      <c r="AF26" s="997">
        <f t="shared" si="73"/>
        <v>27708</v>
      </c>
      <c r="AG26" s="193">
        <f t="shared" si="73"/>
        <v>7057</v>
      </c>
      <c r="AH26" s="193">
        <f t="shared" si="73"/>
        <v>7450</v>
      </c>
      <c r="AI26" s="193">
        <f>SUM(AI23:AI25)</f>
        <v>7569</v>
      </c>
      <c r="AJ26" s="193">
        <f t="shared" si="73"/>
        <v>7075</v>
      </c>
      <c r="AK26" s="997">
        <f t="shared" si="73"/>
        <v>29151</v>
      </c>
      <c r="AL26" s="193">
        <f t="shared" si="73"/>
        <v>7346</v>
      </c>
      <c r="AM26" s="193">
        <f t="shared" si="73"/>
        <v>7346</v>
      </c>
      <c r="AN26" s="193">
        <f>SUM(AN23:AN25)</f>
        <v>7771</v>
      </c>
      <c r="AO26" s="193">
        <f t="shared" si="74" ref="AO26:AQ26">SUM(AO23:AO25)</f>
        <v>7269</v>
      </c>
      <c r="AP26" s="997">
        <f t="shared" si="74"/>
        <v>29732</v>
      </c>
      <c r="AQ26" s="193">
        <f t="shared" si="74"/>
        <v>7505</v>
      </c>
      <c r="AR26" s="193">
        <f t="shared" si="75" ref="AR26:AW26">SUM(AR23:AR25)</f>
        <v>8135</v>
      </c>
      <c r="AS26" s="193">
        <f t="shared" si="75"/>
        <v>8324</v>
      </c>
      <c r="AT26" s="193">
        <f t="shared" si="75"/>
        <v>8002</v>
      </c>
      <c r="AU26" s="997">
        <f t="shared" si="75"/>
        <v>31966</v>
      </c>
      <c r="AV26" s="193">
        <f t="shared" si="75"/>
        <v>8367</v>
      </c>
      <c r="AW26" s="193">
        <f t="shared" si="75"/>
        <v>9020</v>
      </c>
      <c r="AX26" s="193">
        <f t="shared" si="76" ref="AX26:BJ26">SUM(AX23:AX25)</f>
        <v>9198</v>
      </c>
      <c r="AY26" s="193">
        <f t="shared" si="76"/>
        <v>8829</v>
      </c>
      <c r="AZ26" s="997">
        <f t="shared" si="76"/>
        <v>35414</v>
      </c>
      <c r="BA26" s="193">
        <f t="shared" si="77" ref="BA26:BI26">SUM(BA23:BA25)</f>
        <v>9396</v>
      </c>
      <c r="BB26" s="193">
        <f t="shared" si="77"/>
        <v>10318</v>
      </c>
      <c r="BC26" s="193">
        <f t="shared" si="77"/>
        <v>10493</v>
      </c>
      <c r="BD26" s="193">
        <f t="shared" si="77"/>
        <v>9994</v>
      </c>
      <c r="BE26" s="997">
        <f t="shared" si="77"/>
        <v>40201</v>
      </c>
      <c r="BF26" s="193">
        <f>SUM(BF23:BF25)</f>
        <v>10184</v>
      </c>
      <c r="BG26" s="193">
        <f>SUM(BG23:BG25)</f>
        <v>11115</v>
      </c>
      <c r="BH26" s="747">
        <f>SUM(BH23:BH25)</f>
        <v>11317</v>
      </c>
      <c r="BI26" s="194">
        <f t="shared" si="77"/>
        <v>10343.984399999999</v>
      </c>
      <c r="BJ26" s="998">
        <f t="shared" si="76"/>
        <v>42959.984400000001</v>
      </c>
      <c r="BK26" s="194">
        <f t="shared" si="78" ref="BK26:BR26">SUM(BK23:BK25)</f>
        <v>11150.936300000001</v>
      </c>
      <c r="BL26" s="194">
        <f t="shared" si="78"/>
        <v>11740.919650000002</v>
      </c>
      <c r="BM26" s="194">
        <f t="shared" si="78"/>
        <v>12032.73675</v>
      </c>
      <c r="BN26" s="194">
        <f t="shared" si="78"/>
        <v>10778.991096</v>
      </c>
      <c r="BO26" s="998">
        <f t="shared" si="78"/>
        <v>45703.583796000006</v>
      </c>
      <c r="BP26" s="998">
        <f t="shared" si="78"/>
        <v>46551.730231379996</v>
      </c>
      <c r="BQ26" s="998">
        <f t="shared" si="78"/>
        <v>48227.430306756287</v>
      </c>
      <c r="BR26" s="998">
        <f t="shared" si="78"/>
        <v>49984.677925174765</v>
      </c>
      <c r="BS26" s="423"/>
    </row>
    <row r="27" spans="1:71" s="24" customFormat="1" ht="15">
      <c r="A27" s="449"/>
      <c r="B27" s="445"/>
      <c r="C27" s="994"/>
      <c r="D27" s="994"/>
      <c r="E27" s="994"/>
      <c r="F27" s="994"/>
      <c r="G27" s="994"/>
      <c r="H27" s="210"/>
      <c r="I27" s="210"/>
      <c r="J27" s="210"/>
      <c r="K27" s="210"/>
      <c r="L27" s="994"/>
      <c r="M27" s="210"/>
      <c r="N27" s="210"/>
      <c r="O27" s="210"/>
      <c r="P27" s="210"/>
      <c r="Q27" s="994"/>
      <c r="R27" s="210"/>
      <c r="S27" s="210"/>
      <c r="T27" s="210"/>
      <c r="U27" s="210"/>
      <c r="V27" s="994"/>
      <c r="W27" s="210"/>
      <c r="X27" s="210"/>
      <c r="Y27" s="210"/>
      <c r="Z27" s="210"/>
      <c r="AA27" s="994"/>
      <c r="AB27" s="210"/>
      <c r="AC27" s="210"/>
      <c r="AD27" s="210"/>
      <c r="AE27" s="210"/>
      <c r="AF27" s="994"/>
      <c r="AG27" s="210"/>
      <c r="AH27" s="210"/>
      <c r="AI27" s="210"/>
      <c r="AJ27" s="210"/>
      <c r="AK27" s="994"/>
      <c r="AL27" s="210"/>
      <c r="AM27" s="210"/>
      <c r="AN27" s="210"/>
      <c r="AO27" s="210"/>
      <c r="AP27" s="994"/>
      <c r="AQ27" s="210"/>
      <c r="AR27" s="210"/>
      <c r="AS27" s="210"/>
      <c r="AT27" s="210"/>
      <c r="AU27" s="994"/>
      <c r="AV27" s="210"/>
      <c r="AW27" s="210"/>
      <c r="AX27" s="210"/>
      <c r="AY27" s="210"/>
      <c r="AZ27" s="994"/>
      <c r="BA27" s="210"/>
      <c r="BB27" s="210"/>
      <c r="BC27" s="210"/>
      <c r="BD27" s="210"/>
      <c r="BE27" s="994"/>
      <c r="BF27" s="210"/>
      <c r="BG27" s="210"/>
      <c r="BH27" s="553"/>
      <c r="BI27" s="210"/>
      <c r="BJ27" s="994"/>
      <c r="BK27" s="210"/>
      <c r="BL27" s="210"/>
      <c r="BM27" s="210"/>
      <c r="BN27" s="210"/>
      <c r="BO27" s="994"/>
      <c r="BP27" s="994"/>
      <c r="BQ27" s="994"/>
      <c r="BR27" s="994"/>
      <c r="BS27" s="833"/>
    </row>
    <row r="28" spans="1:71" s="24" customFormat="1" ht="15" hidden="1" outlineLevel="1">
      <c r="A28" s="184" t="s">
        <v>32</v>
      </c>
      <c r="B28" s="445"/>
      <c r="C28" s="994"/>
      <c r="D28" s="994"/>
      <c r="E28" s="994"/>
      <c r="F28" s="994"/>
      <c r="G28" s="994"/>
      <c r="H28" s="210"/>
      <c r="I28" s="210"/>
      <c r="J28" s="210"/>
      <c r="K28" s="210"/>
      <c r="L28" s="994"/>
      <c r="M28" s="210"/>
      <c r="N28" s="210"/>
      <c r="O28" s="210"/>
      <c r="P28" s="210"/>
      <c r="Q28" s="994"/>
      <c r="R28" s="210"/>
      <c r="S28" s="210"/>
      <c r="T28" s="210"/>
      <c r="U28" s="210"/>
      <c r="V28" s="994"/>
      <c r="W28" s="210"/>
      <c r="X28" s="210"/>
      <c r="Y28" s="210"/>
      <c r="Z28" s="210"/>
      <c r="AA28" s="993">
        <f>SUM(W28,X28,Y28,Z28)</f>
        <v>0</v>
      </c>
      <c r="AB28" s="210"/>
      <c r="AC28" s="210"/>
      <c r="AD28" s="210"/>
      <c r="AE28" s="210"/>
      <c r="AF28" s="993">
        <f>SUM(AB28,AC28,AD28,AE28)</f>
        <v>0</v>
      </c>
      <c r="AG28" s="210"/>
      <c r="AH28" s="210"/>
      <c r="AI28" s="210"/>
      <c r="AJ28" s="210"/>
      <c r="AK28" s="993">
        <f>SUM(AG28,AH28,AI28,AJ28)</f>
        <v>0</v>
      </c>
      <c r="AL28" s="210"/>
      <c r="AM28" s="210"/>
      <c r="AN28" s="210"/>
      <c r="AO28" s="210"/>
      <c r="AP28" s="993">
        <f>SUM(AL28,AM28,AN28,AO28)</f>
        <v>0</v>
      </c>
      <c r="AQ28" s="210"/>
      <c r="AR28" s="210"/>
      <c r="AS28" s="210"/>
      <c r="AT28" s="210"/>
      <c r="AU28" s="993">
        <f>SUM(AQ28,AR28,AS28,AT28)</f>
        <v>0</v>
      </c>
      <c r="AV28" s="210"/>
      <c r="AW28" s="210"/>
      <c r="AX28" s="210"/>
      <c r="AY28" s="210"/>
      <c r="AZ28" s="993">
        <f>SUM(AV28,AW28,AX28,AY28)</f>
        <v>0</v>
      </c>
      <c r="BA28" s="210"/>
      <c r="BB28" s="210"/>
      <c r="BC28" s="210"/>
      <c r="BD28" s="210"/>
      <c r="BE28" s="993">
        <f>SUM(BA28,BB28,BC28,BD28)</f>
        <v>0</v>
      </c>
      <c r="BF28" s="210"/>
      <c r="BG28" s="210"/>
      <c r="BH28" s="553"/>
      <c r="BI28" s="210">
        <f t="shared" si="79" ref="BI28:BI30">BI15*BI87</f>
        <v>5500.2617999999993</v>
      </c>
      <c r="BJ28" s="994">
        <f>SUM(BF28,BG28,BH28,BI28)</f>
        <v>5500.2617999999993</v>
      </c>
      <c r="BK28" s="210">
        <f t="shared" si="80" ref="BK28:BN30">BK15*BK87</f>
        <v>6443.0001999999995</v>
      </c>
      <c r="BL28" s="210">
        <f t="shared" si="80"/>
        <v>6290.5293000000001</v>
      </c>
      <c r="BM28" s="210">
        <f t="shared" si="80"/>
        <v>6294.6081000000004</v>
      </c>
      <c r="BN28" s="210">
        <f t="shared" si="80"/>
        <v>5665.2696539999997</v>
      </c>
      <c r="BO28" s="994">
        <f>SUM(BK28,BL28,BM28,BN28)</f>
        <v>24693.407254000002</v>
      </c>
      <c r="BP28" s="994">
        <f t="shared" si="81" ref="BP28:BR30">BP15*BP87</f>
        <v>24876.695603619995</v>
      </c>
      <c r="BQ28" s="994">
        <f t="shared" si="81"/>
        <v>25249.846037674291</v>
      </c>
      <c r="BR28" s="994">
        <f t="shared" si="81"/>
        <v>25628.593728239404</v>
      </c>
      <c r="BS28" s="833"/>
    </row>
    <row r="29" spans="1:71" s="24" customFormat="1" ht="15" hidden="1" outlineLevel="1">
      <c r="A29" s="184" t="s">
        <v>33</v>
      </c>
      <c r="B29" s="445"/>
      <c r="C29" s="994"/>
      <c r="D29" s="994"/>
      <c r="E29" s="994"/>
      <c r="F29" s="994"/>
      <c r="G29" s="994"/>
      <c r="H29" s="210"/>
      <c r="I29" s="210"/>
      <c r="J29" s="210"/>
      <c r="K29" s="210"/>
      <c r="L29" s="994"/>
      <c r="M29" s="210"/>
      <c r="N29" s="210"/>
      <c r="O29" s="210"/>
      <c r="P29" s="210"/>
      <c r="Q29" s="994"/>
      <c r="R29" s="210"/>
      <c r="S29" s="210"/>
      <c r="T29" s="210"/>
      <c r="U29" s="210"/>
      <c r="V29" s="994"/>
      <c r="W29" s="210"/>
      <c r="X29" s="210"/>
      <c r="Y29" s="210"/>
      <c r="Z29" s="210"/>
      <c r="AA29" s="994"/>
      <c r="AB29" s="210"/>
      <c r="AC29" s="210"/>
      <c r="AD29" s="210"/>
      <c r="AE29" s="210"/>
      <c r="AF29" s="994"/>
      <c r="AG29" s="210"/>
      <c r="AH29" s="210"/>
      <c r="AI29" s="210"/>
      <c r="AJ29" s="210"/>
      <c r="AK29" s="994"/>
      <c r="AL29" s="210"/>
      <c r="AM29" s="210"/>
      <c r="AN29" s="210"/>
      <c r="AO29" s="210"/>
      <c r="AP29" s="994"/>
      <c r="AQ29" s="210"/>
      <c r="AR29" s="210"/>
      <c r="AS29" s="210"/>
      <c r="AT29" s="210"/>
      <c r="AU29" s="994"/>
      <c r="AV29" s="210"/>
      <c r="AW29" s="210"/>
      <c r="AX29" s="210"/>
      <c r="AY29" s="210"/>
      <c r="AZ29" s="994"/>
      <c r="BA29" s="210"/>
      <c r="BB29" s="210"/>
      <c r="BC29" s="210"/>
      <c r="BD29" s="210"/>
      <c r="BE29" s="994"/>
      <c r="BF29" s="210"/>
      <c r="BG29" s="210"/>
      <c r="BH29" s="553"/>
      <c r="BI29" s="210">
        <f t="shared" si="79"/>
        <v>1026.2919999999999</v>
      </c>
      <c r="BJ29" s="994">
        <f>SUM(BF29,BG29,BH29,BI29)</f>
        <v>1026.2919999999999</v>
      </c>
      <c r="BK29" s="210">
        <f t="shared" si="80"/>
        <v>1041.7831999999999</v>
      </c>
      <c r="BL29" s="210">
        <f t="shared" si="80"/>
        <v>1091.1614</v>
      </c>
      <c r="BM29" s="210">
        <f t="shared" si="80"/>
        <v>1127.953</v>
      </c>
      <c r="BN29" s="210">
        <f t="shared" si="80"/>
        <v>1057.0807600000001</v>
      </c>
      <c r="BO29" s="994">
        <f>SUM(BK29,BL29,BM29,BN29)</f>
        <v>4317.9783600000001</v>
      </c>
      <c r="BP29" s="994">
        <f t="shared" si="81"/>
        <v>4490.6974944000012</v>
      </c>
      <c r="BQ29" s="994">
        <f t="shared" si="81"/>
        <v>4670.3253941760013</v>
      </c>
      <c r="BR29" s="994">
        <f t="shared" si="81"/>
        <v>4857.1384099430416</v>
      </c>
      <c r="BS29" s="833"/>
    </row>
    <row r="30" spans="1:71" s="24" customFormat="1" ht="15" hidden="1" outlineLevel="1">
      <c r="A30" s="179" t="s">
        <v>34</v>
      </c>
      <c r="B30" s="446"/>
      <c r="C30" s="996"/>
      <c r="D30" s="996"/>
      <c r="E30" s="996"/>
      <c r="F30" s="996"/>
      <c r="G30" s="996"/>
      <c r="H30" s="205"/>
      <c r="I30" s="205"/>
      <c r="J30" s="205"/>
      <c r="K30" s="205"/>
      <c r="L30" s="996"/>
      <c r="M30" s="205"/>
      <c r="N30" s="205"/>
      <c r="O30" s="205"/>
      <c r="P30" s="205"/>
      <c r="Q30" s="996"/>
      <c r="R30" s="205"/>
      <c r="S30" s="205"/>
      <c r="T30" s="205"/>
      <c r="U30" s="205"/>
      <c r="V30" s="996"/>
      <c r="W30" s="205"/>
      <c r="X30" s="205"/>
      <c r="Y30" s="205"/>
      <c r="Z30" s="205"/>
      <c r="AA30" s="995">
        <f>SUM(W30,X30,Y30,Z30)</f>
        <v>0</v>
      </c>
      <c r="AB30" s="205"/>
      <c r="AC30" s="205"/>
      <c r="AD30" s="205"/>
      <c r="AE30" s="205"/>
      <c r="AF30" s="995">
        <f>SUM(AB30,AC30,AD30,AE30)</f>
        <v>0</v>
      </c>
      <c r="AG30" s="205"/>
      <c r="AH30" s="205"/>
      <c r="AI30" s="205"/>
      <c r="AJ30" s="205"/>
      <c r="AK30" s="995">
        <f>SUM(AG30,AH30,AI30,AJ30)</f>
        <v>0</v>
      </c>
      <c r="AL30" s="205"/>
      <c r="AM30" s="205"/>
      <c r="AN30" s="205"/>
      <c r="AO30" s="205"/>
      <c r="AP30" s="995">
        <f>SUM(AL30,AM30,AN30,AO30)</f>
        <v>0</v>
      </c>
      <c r="AQ30" s="205"/>
      <c r="AR30" s="205"/>
      <c r="AS30" s="205"/>
      <c r="AT30" s="205"/>
      <c r="AU30" s="995">
        <f>SUM(AQ30,AR30,AS30,AT30)</f>
        <v>0</v>
      </c>
      <c r="AV30" s="205"/>
      <c r="AW30" s="205"/>
      <c r="AX30" s="205"/>
      <c r="AY30" s="205"/>
      <c r="AZ30" s="995">
        <f>SUM(AV30,AW30,AX30,AY30)</f>
        <v>0</v>
      </c>
      <c r="BA30" s="205"/>
      <c r="BB30" s="205"/>
      <c r="BC30" s="205"/>
      <c r="BD30" s="205"/>
      <c r="BE30" s="995">
        <f>SUM(BA30,BB30,BC30,BD30)</f>
        <v>0</v>
      </c>
      <c r="BF30" s="205"/>
      <c r="BG30" s="205"/>
      <c r="BH30" s="658"/>
      <c r="BI30" s="205">
        <f t="shared" si="79"/>
        <v>4198.6494000000002</v>
      </c>
      <c r="BJ30" s="996">
        <f>SUM(BF30,BG30,BH30,BI30)</f>
        <v>4198.6494000000002</v>
      </c>
      <c r="BK30" s="205">
        <f t="shared" si="80"/>
        <v>3918.7776000000003</v>
      </c>
      <c r="BL30" s="205">
        <f t="shared" si="80"/>
        <v>4794.7085999999999</v>
      </c>
      <c r="BM30" s="205">
        <f t="shared" si="80"/>
        <v>5048.6633999999995</v>
      </c>
      <c r="BN30" s="205">
        <f t="shared" si="80"/>
        <v>4450.5683640000007</v>
      </c>
      <c r="BO30" s="996">
        <f>SUM(BK30,BL30,BM30,BN30)</f>
        <v>18212.717963999999</v>
      </c>
      <c r="BP30" s="996">
        <f t="shared" si="81"/>
        <v>18846.342351359999</v>
      </c>
      <c r="BQ30" s="996">
        <f t="shared" si="81"/>
        <v>19977.122892441603</v>
      </c>
      <c r="BR30" s="996">
        <f t="shared" si="81"/>
        <v>21175.750265988099</v>
      </c>
      <c r="BS30" s="833"/>
    </row>
    <row r="31" spans="1:71" s="181" customFormat="1" ht="15" hidden="1" outlineLevel="1">
      <c r="A31" s="88" t="s">
        <v>35</v>
      </c>
      <c r="B31" s="447"/>
      <c r="C31" s="997">
        <f t="shared" si="82" ref="C31:AM31">SUM(C28:C30)</f>
        <v>0</v>
      </c>
      <c r="D31" s="997">
        <f t="shared" si="82"/>
        <v>0</v>
      </c>
      <c r="E31" s="997">
        <f t="shared" si="82"/>
        <v>0</v>
      </c>
      <c r="F31" s="997">
        <f t="shared" si="82"/>
        <v>0</v>
      </c>
      <c r="G31" s="997">
        <f t="shared" si="82"/>
        <v>0</v>
      </c>
      <c r="H31" s="193">
        <f t="shared" si="82"/>
        <v>0</v>
      </c>
      <c r="I31" s="193">
        <f t="shared" si="82"/>
        <v>0</v>
      </c>
      <c r="J31" s="193">
        <f t="shared" si="82"/>
        <v>0</v>
      </c>
      <c r="K31" s="193">
        <f t="shared" si="82"/>
        <v>0</v>
      </c>
      <c r="L31" s="997">
        <f t="shared" si="82"/>
        <v>0</v>
      </c>
      <c r="M31" s="193">
        <f t="shared" si="82"/>
        <v>0</v>
      </c>
      <c r="N31" s="193">
        <f t="shared" si="82"/>
        <v>0</v>
      </c>
      <c r="O31" s="193">
        <f t="shared" si="82"/>
        <v>0</v>
      </c>
      <c r="P31" s="193">
        <f t="shared" si="82"/>
        <v>0</v>
      </c>
      <c r="Q31" s="997">
        <f t="shared" si="82"/>
        <v>0</v>
      </c>
      <c r="R31" s="193">
        <f t="shared" si="82"/>
        <v>0</v>
      </c>
      <c r="S31" s="193">
        <f t="shared" si="82"/>
        <v>0</v>
      </c>
      <c r="T31" s="193">
        <f t="shared" si="82"/>
        <v>0</v>
      </c>
      <c r="U31" s="193">
        <f t="shared" si="82"/>
        <v>0</v>
      </c>
      <c r="V31" s="997">
        <f t="shared" si="82"/>
        <v>0</v>
      </c>
      <c r="W31" s="193">
        <f t="shared" si="82"/>
        <v>0</v>
      </c>
      <c r="X31" s="193">
        <f t="shared" si="82"/>
        <v>0</v>
      </c>
      <c r="Y31" s="193">
        <f t="shared" si="82"/>
        <v>0</v>
      </c>
      <c r="Z31" s="193">
        <f t="shared" si="82"/>
        <v>0</v>
      </c>
      <c r="AA31" s="997">
        <f t="shared" si="82"/>
        <v>0</v>
      </c>
      <c r="AB31" s="193">
        <f t="shared" si="82"/>
        <v>0</v>
      </c>
      <c r="AC31" s="193">
        <f t="shared" si="82"/>
        <v>0</v>
      </c>
      <c r="AD31" s="193">
        <f t="shared" si="82"/>
        <v>0</v>
      </c>
      <c r="AE31" s="193">
        <f t="shared" si="82"/>
        <v>0</v>
      </c>
      <c r="AF31" s="997">
        <f t="shared" si="82"/>
        <v>0</v>
      </c>
      <c r="AG31" s="193">
        <f t="shared" si="82"/>
        <v>0</v>
      </c>
      <c r="AH31" s="193">
        <f t="shared" si="82"/>
        <v>0</v>
      </c>
      <c r="AI31" s="193">
        <f t="shared" si="82"/>
        <v>0</v>
      </c>
      <c r="AJ31" s="193">
        <f t="shared" si="82"/>
        <v>0</v>
      </c>
      <c r="AK31" s="997">
        <f t="shared" si="82"/>
        <v>0</v>
      </c>
      <c r="AL31" s="193">
        <f t="shared" si="82"/>
        <v>0</v>
      </c>
      <c r="AM31" s="193">
        <f t="shared" si="82"/>
        <v>0</v>
      </c>
      <c r="AN31" s="193">
        <f>SUM(AN28:AN30)</f>
        <v>0</v>
      </c>
      <c r="AO31" s="193">
        <f t="shared" si="83" ref="AO31:AQ31">SUM(AO28:AO30)</f>
        <v>0</v>
      </c>
      <c r="AP31" s="997">
        <f t="shared" si="83"/>
        <v>0</v>
      </c>
      <c r="AQ31" s="193">
        <f t="shared" si="83"/>
        <v>0</v>
      </c>
      <c r="AR31" s="193">
        <f t="shared" si="84" ref="AR31:AW31">SUM(AR28:AR30)</f>
        <v>0</v>
      </c>
      <c r="AS31" s="193">
        <f t="shared" si="84"/>
        <v>0</v>
      </c>
      <c r="AT31" s="193">
        <f t="shared" si="84"/>
        <v>0</v>
      </c>
      <c r="AU31" s="997">
        <f t="shared" si="84"/>
        <v>0</v>
      </c>
      <c r="AV31" s="193">
        <f t="shared" si="84"/>
        <v>0</v>
      </c>
      <c r="AW31" s="193">
        <f t="shared" si="84"/>
        <v>0</v>
      </c>
      <c r="AX31" s="193">
        <f t="shared" si="85" ref="AX31:BJ31">SUM(AX28:AX30)</f>
        <v>0</v>
      </c>
      <c r="AY31" s="193">
        <f t="shared" si="85"/>
        <v>0</v>
      </c>
      <c r="AZ31" s="997">
        <f t="shared" si="85"/>
        <v>0</v>
      </c>
      <c r="BA31" s="193">
        <f t="shared" si="86" ref="BA31:BI31">SUM(BA28:BA30)</f>
        <v>0</v>
      </c>
      <c r="BB31" s="193">
        <f t="shared" si="86"/>
        <v>0</v>
      </c>
      <c r="BC31" s="193">
        <f t="shared" si="86"/>
        <v>0</v>
      </c>
      <c r="BD31" s="193">
        <f t="shared" si="86"/>
        <v>0</v>
      </c>
      <c r="BE31" s="997">
        <f t="shared" si="86"/>
        <v>0</v>
      </c>
      <c r="BF31" s="193">
        <f>SUM(BF28:BF30)</f>
        <v>0</v>
      </c>
      <c r="BG31" s="193">
        <f>SUM(BG28:BG30)</f>
        <v>0</v>
      </c>
      <c r="BH31" s="747">
        <f>SUM(BH28:BH30)</f>
        <v>0</v>
      </c>
      <c r="BI31" s="194">
        <f t="shared" si="86"/>
        <v>10725.2032</v>
      </c>
      <c r="BJ31" s="998">
        <f t="shared" si="85"/>
        <v>10725.2032</v>
      </c>
      <c r="BK31" s="194">
        <f t="shared" si="87" ref="BK31:BR31">SUM(BK28:BK30)</f>
        <v>11403.561</v>
      </c>
      <c r="BL31" s="194">
        <f t="shared" si="87"/>
        <v>12176.399300000001</v>
      </c>
      <c r="BM31" s="194">
        <f t="shared" si="87"/>
        <v>12471.2245</v>
      </c>
      <c r="BN31" s="194">
        <f t="shared" si="87"/>
        <v>11172.918777999999</v>
      </c>
      <c r="BO31" s="998">
        <f t="shared" si="87"/>
        <v>47224.103578000002</v>
      </c>
      <c r="BP31" s="998">
        <f t="shared" si="87"/>
        <v>48213.735449379994</v>
      </c>
      <c r="BQ31" s="998">
        <f t="shared" si="87"/>
        <v>49897.294324291899</v>
      </c>
      <c r="BR31" s="998">
        <f t="shared" si="87"/>
        <v>51661.482404170543</v>
      </c>
      <c r="BS31" s="423"/>
    </row>
    <row r="32" spans="1:71" s="24" customFormat="1" ht="15" hidden="1" outlineLevel="1">
      <c r="A32" s="184" t="s">
        <v>36</v>
      </c>
      <c r="B32" s="445"/>
      <c r="C32" s="994"/>
      <c r="D32" s="994"/>
      <c r="E32" s="994"/>
      <c r="F32" s="994"/>
      <c r="G32" s="994"/>
      <c r="H32" s="210"/>
      <c r="I32" s="210"/>
      <c r="J32" s="210"/>
      <c r="K32" s="210"/>
      <c r="L32" s="994"/>
      <c r="M32" s="210"/>
      <c r="N32" s="210"/>
      <c r="O32" s="210"/>
      <c r="P32" s="210"/>
      <c r="Q32" s="994"/>
      <c r="R32" s="210"/>
      <c r="S32" s="210"/>
      <c r="T32" s="210"/>
      <c r="U32" s="210"/>
      <c r="V32" s="994"/>
      <c r="W32" s="210"/>
      <c r="X32" s="210"/>
      <c r="Y32" s="210"/>
      <c r="Z32" s="210"/>
      <c r="AA32" s="993">
        <f>SUM(W32,X32,Y32,Z32)</f>
        <v>0</v>
      </c>
      <c r="AB32" s="210"/>
      <c r="AC32" s="210"/>
      <c r="AD32" s="210"/>
      <c r="AE32" s="210"/>
      <c r="AF32" s="993">
        <f>SUM(AB32,AC32,AD32,AE32)</f>
        <v>0</v>
      </c>
      <c r="AG32" s="210"/>
      <c r="AH32" s="210"/>
      <c r="AI32" s="210"/>
      <c r="AJ32" s="210"/>
      <c r="AK32" s="993">
        <f>SUM(AG32,AH32,AI32,AJ32)</f>
        <v>0</v>
      </c>
      <c r="AL32" s="210"/>
      <c r="AM32" s="210"/>
      <c r="AN32" s="210"/>
      <c r="AO32" s="210"/>
      <c r="AP32" s="993">
        <f>SUM(AL32,AM32,AN32,AO32)</f>
        <v>0</v>
      </c>
      <c r="AQ32" s="210"/>
      <c r="AR32" s="210"/>
      <c r="AS32" s="210"/>
      <c r="AT32" s="210"/>
      <c r="AU32" s="993">
        <f>SUM(AQ32,AR32,AS32,AT32)</f>
        <v>0</v>
      </c>
      <c r="AV32" s="210"/>
      <c r="AW32" s="210"/>
      <c r="AX32" s="210"/>
      <c r="AY32" s="210"/>
      <c r="AZ32" s="993">
        <f>SUM(AV32,AW32,AX32,AY32)</f>
        <v>0</v>
      </c>
      <c r="BA32" s="210"/>
      <c r="BB32" s="210"/>
      <c r="BC32" s="210"/>
      <c r="BD32" s="210"/>
      <c r="BE32" s="993">
        <f>SUM(BA32,BB32,BC32,BD32)</f>
        <v>0</v>
      </c>
      <c r="BF32" s="210"/>
      <c r="BG32" s="210"/>
      <c r="BH32" s="553"/>
      <c r="BI32" s="210">
        <f t="shared" si="88" ref="BI32:BI35">BI28-BI36</f>
        <v>385.01832599999943</v>
      </c>
      <c r="BJ32" s="994">
        <f>SUM(BF32,BG32,BH32,BI32)</f>
        <v>385.01832599999943</v>
      </c>
      <c r="BK32" s="210">
        <f t="shared" si="89" ref="BK32:BN35">BK28-BK36</f>
        <v>451.0100139999995</v>
      </c>
      <c r="BL32" s="210">
        <f t="shared" si="89"/>
        <v>440.33705099999952</v>
      </c>
      <c r="BM32" s="210">
        <f t="shared" si="89"/>
        <v>440.62256699999944</v>
      </c>
      <c r="BN32" s="210">
        <f t="shared" si="89"/>
        <v>396.56887577999987</v>
      </c>
      <c r="BO32" s="994">
        <f>SUM(BK32,BL32,BM32,BN32)</f>
        <v>1728.5385077799983</v>
      </c>
      <c r="BP32" s="994">
        <f t="shared" si="90" ref="BP32:BR34">BP28-BP36</f>
        <v>2487.6695603620028</v>
      </c>
      <c r="BQ32" s="994">
        <f t="shared" si="90"/>
        <v>2524.9846037674324</v>
      </c>
      <c r="BR32" s="994">
        <f t="shared" si="90"/>
        <v>2562.859372823943</v>
      </c>
      <c r="BS32" s="833"/>
    </row>
    <row r="33" spans="1:71" s="24" customFormat="1" ht="15" hidden="1" outlineLevel="1">
      <c r="A33" s="184" t="s">
        <v>37</v>
      </c>
      <c r="B33" s="445"/>
      <c r="C33" s="994"/>
      <c r="D33" s="994"/>
      <c r="E33" s="994"/>
      <c r="F33" s="994"/>
      <c r="G33" s="994"/>
      <c r="H33" s="210"/>
      <c r="I33" s="210"/>
      <c r="J33" s="210"/>
      <c r="K33" s="210"/>
      <c r="L33" s="994"/>
      <c r="M33" s="210"/>
      <c r="N33" s="210"/>
      <c r="O33" s="210"/>
      <c r="P33" s="210"/>
      <c r="Q33" s="994"/>
      <c r="R33" s="210"/>
      <c r="S33" s="210"/>
      <c r="T33" s="210"/>
      <c r="U33" s="210"/>
      <c r="V33" s="994"/>
      <c r="W33" s="210"/>
      <c r="X33" s="210"/>
      <c r="Y33" s="210"/>
      <c r="Z33" s="210"/>
      <c r="AA33" s="994"/>
      <c r="AB33" s="210"/>
      <c r="AC33" s="210"/>
      <c r="AD33" s="210"/>
      <c r="AE33" s="210"/>
      <c r="AF33" s="994"/>
      <c r="AG33" s="210"/>
      <c r="AH33" s="210"/>
      <c r="AI33" s="210"/>
      <c r="AJ33" s="210"/>
      <c r="AK33" s="994"/>
      <c r="AL33" s="210"/>
      <c r="AM33" s="210"/>
      <c r="AN33" s="210"/>
      <c r="AO33" s="210"/>
      <c r="AP33" s="994"/>
      <c r="AQ33" s="210"/>
      <c r="AR33" s="210"/>
      <c r="AS33" s="210"/>
      <c r="AT33" s="210"/>
      <c r="AU33" s="994"/>
      <c r="AV33" s="210"/>
      <c r="AW33" s="210"/>
      <c r="AX33" s="210"/>
      <c r="AY33" s="210"/>
      <c r="AZ33" s="994"/>
      <c r="BA33" s="210"/>
      <c r="BB33" s="210"/>
      <c r="BC33" s="210"/>
      <c r="BD33" s="210"/>
      <c r="BE33" s="994"/>
      <c r="BF33" s="210"/>
      <c r="BG33" s="210"/>
      <c r="BH33" s="553"/>
      <c r="BI33" s="210">
        <f t="shared" si="88"/>
        <v>66.708979999999883</v>
      </c>
      <c r="BJ33" s="994">
        <f>SUM(BF33,BG33,BH33,BI33)</f>
        <v>66.708979999999883</v>
      </c>
      <c r="BK33" s="210">
        <f t="shared" si="89"/>
        <v>67.715907999999899</v>
      </c>
      <c r="BL33" s="210">
        <f t="shared" si="89"/>
        <v>70.925490999999965</v>
      </c>
      <c r="BM33" s="210">
        <f t="shared" si="89"/>
        <v>73.316945000000032</v>
      </c>
      <c r="BN33" s="210">
        <f t="shared" si="89"/>
        <v>68.710249399999952</v>
      </c>
      <c r="BO33" s="994">
        <f>SUM(BK33,BL33,BM33,BN33)</f>
        <v>280.66859339999985</v>
      </c>
      <c r="BP33" s="994">
        <f t="shared" si="90"/>
        <v>291.8953371359994</v>
      </c>
      <c r="BQ33" s="994">
        <f t="shared" si="90"/>
        <v>303.57115062144021</v>
      </c>
      <c r="BR33" s="994">
        <f t="shared" si="90"/>
        <v>315.71399664629735</v>
      </c>
      <c r="BS33" s="833"/>
    </row>
    <row r="34" spans="1:71" s="24" customFormat="1" ht="15" hidden="1" outlineLevel="1">
      <c r="A34" s="179" t="s">
        <v>38</v>
      </c>
      <c r="B34" s="446"/>
      <c r="C34" s="996"/>
      <c r="D34" s="996"/>
      <c r="E34" s="996"/>
      <c r="F34" s="996"/>
      <c r="G34" s="996"/>
      <c r="H34" s="205"/>
      <c r="I34" s="205"/>
      <c r="J34" s="205"/>
      <c r="K34" s="205"/>
      <c r="L34" s="996"/>
      <c r="M34" s="205"/>
      <c r="N34" s="205"/>
      <c r="O34" s="205"/>
      <c r="P34" s="205"/>
      <c r="Q34" s="996"/>
      <c r="R34" s="205"/>
      <c r="S34" s="205"/>
      <c r="T34" s="205"/>
      <c r="U34" s="205"/>
      <c r="V34" s="996"/>
      <c r="W34" s="205"/>
      <c r="X34" s="205"/>
      <c r="Y34" s="205"/>
      <c r="Z34" s="205"/>
      <c r="AA34" s="995">
        <f>SUM(W34,X34,Y34,Z34)</f>
        <v>0</v>
      </c>
      <c r="AB34" s="205"/>
      <c r="AC34" s="205"/>
      <c r="AD34" s="205"/>
      <c r="AE34" s="205"/>
      <c r="AF34" s="995">
        <f>SUM(AB34,AC34,AD34,AE34)</f>
        <v>0</v>
      </c>
      <c r="AG34" s="205"/>
      <c r="AH34" s="205"/>
      <c r="AI34" s="205"/>
      <c r="AJ34" s="205"/>
      <c r="AK34" s="995">
        <f>SUM(AG34,AH34,AI34,AJ34)</f>
        <v>0</v>
      </c>
      <c r="AL34" s="205"/>
      <c r="AM34" s="205"/>
      <c r="AN34" s="205"/>
      <c r="AO34" s="205"/>
      <c r="AP34" s="995">
        <f>SUM(AL34,AM34,AN34,AO34)</f>
        <v>0</v>
      </c>
      <c r="AQ34" s="205"/>
      <c r="AR34" s="205"/>
      <c r="AS34" s="205"/>
      <c r="AT34" s="205"/>
      <c r="AU34" s="995">
        <f>SUM(AQ34,AR34,AS34,AT34)</f>
        <v>0</v>
      </c>
      <c r="AV34" s="205"/>
      <c r="AW34" s="205"/>
      <c r="AX34" s="205"/>
      <c r="AY34" s="205"/>
      <c r="AZ34" s="995">
        <f>SUM(AV34,AW34,AX34,AY34)</f>
        <v>0</v>
      </c>
      <c r="BA34" s="205"/>
      <c r="BB34" s="205"/>
      <c r="BC34" s="205"/>
      <c r="BD34" s="205"/>
      <c r="BE34" s="995">
        <f>SUM(BA34,BB34,BC34,BD34)</f>
        <v>0</v>
      </c>
      <c r="BF34" s="205"/>
      <c r="BG34" s="205"/>
      <c r="BH34" s="658"/>
      <c r="BI34" s="205">
        <f t="shared" si="88"/>
        <v>83.972988000000441</v>
      </c>
      <c r="BJ34" s="996">
        <f>SUM(BF34,BG34,BH34,BI34)</f>
        <v>83.972988000000441</v>
      </c>
      <c r="BK34" s="205">
        <f t="shared" si="89"/>
        <v>78.375551999999971</v>
      </c>
      <c r="BL34" s="205">
        <f t="shared" si="89"/>
        <v>95.894172000000253</v>
      </c>
      <c r="BM34" s="205">
        <f t="shared" si="89"/>
        <v>100.97326799999973</v>
      </c>
      <c r="BN34" s="205">
        <f t="shared" si="89"/>
        <v>89.011367279999831</v>
      </c>
      <c r="BO34" s="996">
        <f>SUM(BK34,BL34,BM34,BN34)</f>
        <v>364.25435927999979</v>
      </c>
      <c r="BP34" s="996">
        <f t="shared" si="90"/>
        <v>376.92684702719998</v>
      </c>
      <c r="BQ34" s="996">
        <f t="shared" si="90"/>
        <v>399.54245784883096</v>
      </c>
      <c r="BR34" s="996">
        <f t="shared" si="90"/>
        <v>423.51500531976126</v>
      </c>
      <c r="BS34" s="833"/>
    </row>
    <row r="35" spans="1:71" s="181" customFormat="1" ht="15" hidden="1" outlineLevel="1">
      <c r="A35" s="88" t="s">
        <v>39</v>
      </c>
      <c r="B35" s="447"/>
      <c r="C35" s="997">
        <f t="shared" si="91" ref="C35:AM35">SUM(C32:C34)</f>
        <v>0</v>
      </c>
      <c r="D35" s="997">
        <f t="shared" si="91"/>
        <v>0</v>
      </c>
      <c r="E35" s="997">
        <f t="shared" si="91"/>
        <v>0</v>
      </c>
      <c r="F35" s="997">
        <f t="shared" si="91"/>
        <v>0</v>
      </c>
      <c r="G35" s="997">
        <f t="shared" si="91"/>
        <v>0</v>
      </c>
      <c r="H35" s="193">
        <f t="shared" si="91"/>
        <v>0</v>
      </c>
      <c r="I35" s="193">
        <f t="shared" si="91"/>
        <v>0</v>
      </c>
      <c r="J35" s="193">
        <f t="shared" si="91"/>
        <v>0</v>
      </c>
      <c r="K35" s="193">
        <f t="shared" si="91"/>
        <v>0</v>
      </c>
      <c r="L35" s="997">
        <f t="shared" si="91"/>
        <v>0</v>
      </c>
      <c r="M35" s="193">
        <f t="shared" si="91"/>
        <v>0</v>
      </c>
      <c r="N35" s="193">
        <f t="shared" si="91"/>
        <v>0</v>
      </c>
      <c r="O35" s="193">
        <f t="shared" si="91"/>
        <v>0</v>
      </c>
      <c r="P35" s="193">
        <f t="shared" si="91"/>
        <v>0</v>
      </c>
      <c r="Q35" s="997">
        <f t="shared" si="91"/>
        <v>0</v>
      </c>
      <c r="R35" s="193">
        <f t="shared" si="91"/>
        <v>0</v>
      </c>
      <c r="S35" s="193">
        <f t="shared" si="91"/>
        <v>0</v>
      </c>
      <c r="T35" s="193">
        <f t="shared" si="91"/>
        <v>0</v>
      </c>
      <c r="U35" s="193">
        <f t="shared" si="91"/>
        <v>0</v>
      </c>
      <c r="V35" s="997">
        <f t="shared" si="91"/>
        <v>0</v>
      </c>
      <c r="W35" s="193">
        <f t="shared" si="91"/>
        <v>0</v>
      </c>
      <c r="X35" s="193">
        <f t="shared" si="91"/>
        <v>0</v>
      </c>
      <c r="Y35" s="193">
        <f t="shared" si="91"/>
        <v>0</v>
      </c>
      <c r="Z35" s="193">
        <f t="shared" si="91"/>
        <v>0</v>
      </c>
      <c r="AA35" s="997">
        <f t="shared" si="91"/>
        <v>0</v>
      </c>
      <c r="AB35" s="193">
        <f t="shared" si="91"/>
        <v>0</v>
      </c>
      <c r="AC35" s="193">
        <f t="shared" si="91"/>
        <v>0</v>
      </c>
      <c r="AD35" s="193">
        <f t="shared" si="91"/>
        <v>0</v>
      </c>
      <c r="AE35" s="193">
        <f t="shared" si="91"/>
        <v>0</v>
      </c>
      <c r="AF35" s="997">
        <f t="shared" si="91"/>
        <v>0</v>
      </c>
      <c r="AG35" s="193">
        <f t="shared" si="91"/>
        <v>0</v>
      </c>
      <c r="AH35" s="193">
        <f t="shared" si="91"/>
        <v>0</v>
      </c>
      <c r="AI35" s="193">
        <f t="shared" si="91"/>
        <v>0</v>
      </c>
      <c r="AJ35" s="193">
        <f t="shared" si="91"/>
        <v>0</v>
      </c>
      <c r="AK35" s="997">
        <f t="shared" si="91"/>
        <v>0</v>
      </c>
      <c r="AL35" s="193">
        <f t="shared" si="91"/>
        <v>0</v>
      </c>
      <c r="AM35" s="193">
        <f t="shared" si="91"/>
        <v>0</v>
      </c>
      <c r="AN35" s="193">
        <f>SUM(AN32:AN34)</f>
        <v>0</v>
      </c>
      <c r="AO35" s="193">
        <f t="shared" si="92" ref="AO35:AQ35">SUM(AO32:AO34)</f>
        <v>0</v>
      </c>
      <c r="AP35" s="997">
        <f t="shared" si="92"/>
        <v>0</v>
      </c>
      <c r="AQ35" s="193">
        <f t="shared" si="92"/>
        <v>0</v>
      </c>
      <c r="AR35" s="193">
        <f t="shared" si="93" ref="AR35:AW35">SUM(AR32:AR34)</f>
        <v>0</v>
      </c>
      <c r="AS35" s="193">
        <f t="shared" si="93"/>
        <v>0</v>
      </c>
      <c r="AT35" s="193">
        <f t="shared" si="93"/>
        <v>0</v>
      </c>
      <c r="AU35" s="997">
        <f t="shared" si="93"/>
        <v>0</v>
      </c>
      <c r="AV35" s="193">
        <f t="shared" si="93"/>
        <v>0</v>
      </c>
      <c r="AW35" s="193">
        <f t="shared" si="93"/>
        <v>0</v>
      </c>
      <c r="AX35" s="193">
        <f t="shared" si="94" ref="AX35:BC35">SUM(AX32:AX34)</f>
        <v>0</v>
      </c>
      <c r="AY35" s="193">
        <f t="shared" si="94"/>
        <v>0</v>
      </c>
      <c r="AZ35" s="997">
        <f t="shared" si="94"/>
        <v>0</v>
      </c>
      <c r="BA35" s="193">
        <f t="shared" si="94"/>
        <v>0</v>
      </c>
      <c r="BB35" s="193">
        <f t="shared" si="94"/>
        <v>0</v>
      </c>
      <c r="BC35" s="193">
        <f t="shared" si="94"/>
        <v>0</v>
      </c>
      <c r="BD35" s="193">
        <f>SUM(BD32:BD34)</f>
        <v>0</v>
      </c>
      <c r="BE35" s="997">
        <f>SUM(BE32:BE34)</f>
        <v>0</v>
      </c>
      <c r="BF35" s="193">
        <f>SUM(BF32:BF34)</f>
        <v>0</v>
      </c>
      <c r="BG35" s="193">
        <f>SUM(BG32:BG34)</f>
        <v>0</v>
      </c>
      <c r="BH35" s="747">
        <f>SUM(BH32:BH34)</f>
        <v>0</v>
      </c>
      <c r="BI35" s="194">
        <f t="shared" si="88"/>
        <v>535.70029400000021</v>
      </c>
      <c r="BJ35" s="998">
        <f>SUM(BJ32:BJ34)</f>
        <v>535.70029399999976</v>
      </c>
      <c r="BK35" s="194">
        <f t="shared" si="89"/>
        <v>597.10147399999914</v>
      </c>
      <c r="BL35" s="194">
        <f t="shared" si="89"/>
        <v>607.15671400000065</v>
      </c>
      <c r="BM35" s="194">
        <f t="shared" si="89"/>
        <v>614.91277999999875</v>
      </c>
      <c r="BN35" s="194">
        <f t="shared" si="89"/>
        <v>554.29049245999886</v>
      </c>
      <c r="BO35" s="998">
        <f>SUM(BO32:BO34)</f>
        <v>2373.4614604599979</v>
      </c>
      <c r="BP35" s="998">
        <f>SUM(BP32:BP34)</f>
        <v>3156.4917445252022</v>
      </c>
      <c r="BQ35" s="998">
        <f>SUM(BQ32:BQ34)</f>
        <v>3228.0982122377036</v>
      </c>
      <c r="BR35" s="998">
        <f>SUM(BR32:BR34)</f>
        <v>3302.0883747900016</v>
      </c>
      <c r="BS35" s="423"/>
    </row>
    <row r="36" spans="1:71" s="24" customFormat="1" ht="15" collapsed="1">
      <c r="A36" s="263" t="s">
        <v>40</v>
      </c>
      <c r="B36" s="445"/>
      <c r="C36" s="993">
        <f t="shared" si="95" ref="C36:AT36">C174</f>
        <v>10968</v>
      </c>
      <c r="D36" s="993">
        <f t="shared" si="95"/>
        <v>10766</v>
      </c>
      <c r="E36" s="993">
        <f t="shared" si="95"/>
        <v>11327</v>
      </c>
      <c r="F36" s="993">
        <f t="shared" si="95"/>
        <v>11691</v>
      </c>
      <c r="G36" s="993">
        <f t="shared" si="95"/>
        <v>13332</v>
      </c>
      <c r="H36" s="265">
        <f t="shared" si="95"/>
        <v>3558</v>
      </c>
      <c r="I36" s="265">
        <f t="shared" si="95"/>
        <v>3631</v>
      </c>
      <c r="J36" s="265">
        <f t="shared" si="95"/>
        <v>3660</v>
      </c>
      <c r="K36" s="265">
        <f t="shared" si="95"/>
        <v>3663</v>
      </c>
      <c r="L36" s="993">
        <f t="shared" si="95"/>
        <v>14512</v>
      </c>
      <c r="M36" s="265">
        <f t="shared" si="95"/>
        <v>3620</v>
      </c>
      <c r="N36" s="265">
        <f t="shared" si="95"/>
        <v>3609</v>
      </c>
      <c r="O36" s="265">
        <f t="shared" si="95"/>
        <v>3653</v>
      </c>
      <c r="P36" s="265">
        <f t="shared" si="95"/>
        <v>3639</v>
      </c>
      <c r="Q36" s="993">
        <f t="shared" si="95"/>
        <v>14521</v>
      </c>
      <c r="R36" s="265">
        <f t="shared" si="95"/>
        <v>3414</v>
      </c>
      <c r="S36" s="265">
        <f t="shared" si="95"/>
        <v>3439</v>
      </c>
      <c r="T36" s="265">
        <f t="shared" si="95"/>
        <v>3497</v>
      </c>
      <c r="U36" s="265">
        <f t="shared" si="95"/>
        <v>3505</v>
      </c>
      <c r="V36" s="993">
        <f t="shared" si="95"/>
        <v>13855</v>
      </c>
      <c r="W36" s="265">
        <f t="shared" si="95"/>
        <v>3429</v>
      </c>
      <c r="X36" s="265">
        <f t="shared" si="95"/>
        <v>3504</v>
      </c>
      <c r="Y36" s="265">
        <f t="shared" si="95"/>
        <v>3576</v>
      </c>
      <c r="Z36" s="265">
        <f t="shared" si="95"/>
        <v>3637</v>
      </c>
      <c r="AA36" s="993">
        <f t="shared" si="95"/>
        <v>14146</v>
      </c>
      <c r="AB36" s="265">
        <f t="shared" si="95"/>
        <v>3568</v>
      </c>
      <c r="AC36" s="265">
        <f t="shared" si="95"/>
        <v>3641</v>
      </c>
      <c r="AD36" s="265">
        <f t="shared" si="95"/>
        <v>3743</v>
      </c>
      <c r="AE36" s="265">
        <f t="shared" si="95"/>
        <v>3770</v>
      </c>
      <c r="AF36" s="993">
        <f t="shared" si="95"/>
        <v>14722</v>
      </c>
      <c r="AG36" s="265">
        <f t="shared" si="95"/>
        <v>3742</v>
      </c>
      <c r="AH36" s="265">
        <f t="shared" si="95"/>
        <v>3783</v>
      </c>
      <c r="AI36" s="265">
        <f t="shared" si="95"/>
        <v>3882</v>
      </c>
      <c r="AJ36" s="265">
        <f t="shared" si="95"/>
        <v>3893</v>
      </c>
      <c r="AK36" s="993">
        <f t="shared" si="95"/>
        <v>15300</v>
      </c>
      <c r="AL36" s="265">
        <f t="shared" si="95"/>
        <v>3864</v>
      </c>
      <c r="AM36" s="265">
        <f t="shared" si="95"/>
        <v>3735</v>
      </c>
      <c r="AN36" s="265">
        <f t="shared" si="95"/>
        <v>3841</v>
      </c>
      <c r="AO36" s="265">
        <f t="shared" si="95"/>
        <v>3854</v>
      </c>
      <c r="AP36" s="993">
        <f t="shared" si="95"/>
        <v>15294</v>
      </c>
      <c r="AQ36" s="265">
        <f t="shared" si="95"/>
        <v>3799</v>
      </c>
      <c r="AR36" s="265">
        <f t="shared" si="95"/>
        <v>3880</v>
      </c>
      <c r="AS36" s="265">
        <f t="shared" si="95"/>
        <v>3970</v>
      </c>
      <c r="AT36" s="265">
        <f t="shared" si="95"/>
        <v>4085</v>
      </c>
      <c r="AU36" s="993">
        <f t="shared" si="96" ref="AU36:AY36">AU174</f>
        <v>15734</v>
      </c>
      <c r="AV36" s="265">
        <f t="shared" si="96"/>
        <v>4071</v>
      </c>
      <c r="AW36" s="265">
        <f t="shared" si="96"/>
        <v>4218</v>
      </c>
      <c r="AX36" s="265">
        <f t="shared" si="96"/>
        <v>4353</v>
      </c>
      <c r="AY36" s="265">
        <f t="shared" si="96"/>
        <v>4453</v>
      </c>
      <c r="AZ36" s="993">
        <f t="shared" si="97" ref="AZ36:BE36">AZ174</f>
        <v>17095</v>
      </c>
      <c r="BA36" s="265">
        <f t="shared" si="97"/>
        <v>4477</v>
      </c>
      <c r="BB36" s="265">
        <f t="shared" si="97"/>
        <v>4644</v>
      </c>
      <c r="BC36" s="265">
        <f t="shared" si="97"/>
        <v>4956</v>
      </c>
      <c r="BD36" s="265">
        <f t="shared" si="97"/>
        <v>5067</v>
      </c>
      <c r="BE36" s="993">
        <f t="shared" si="97"/>
        <v>19144</v>
      </c>
      <c r="BF36" s="265">
        <f>BF174</f>
        <v>5160</v>
      </c>
      <c r="BG36" s="265">
        <f>BG174</f>
        <v>5168</v>
      </c>
      <c r="BH36" s="745">
        <f>BH174</f>
        <v>5474</v>
      </c>
      <c r="BI36" s="210">
        <f t="shared" si="98" ref="BI36:BI38">BI28*BI82</f>
        <v>5115.2434739999999</v>
      </c>
      <c r="BJ36" s="994">
        <f>SUM(BF36,BG36,BH36,BI36)</f>
        <v>20917.243473999999</v>
      </c>
      <c r="BK36" s="210">
        <f t="shared" si="99" ref="BK36:BN38">BK28*BK82</f>
        <v>5991.990186</v>
      </c>
      <c r="BL36" s="210">
        <f t="shared" si="99"/>
        <v>5850.1922490000006</v>
      </c>
      <c r="BM36" s="210">
        <f t="shared" si="99"/>
        <v>5853.9855330000009</v>
      </c>
      <c r="BN36" s="210">
        <f t="shared" si="99"/>
        <v>5268.7007782199998</v>
      </c>
      <c r="BO36" s="994">
        <f>SUM(BK36,BL36,BM36,BN36)</f>
        <v>22964.868746220003</v>
      </c>
      <c r="BP36" s="994">
        <f t="shared" si="100" ref="BP36:BR38">BP28*BP82</f>
        <v>22389.026043257993</v>
      </c>
      <c r="BQ36" s="994">
        <f t="shared" si="100"/>
        <v>22724.861433906859</v>
      </c>
      <c r="BR36" s="994">
        <f t="shared" si="100"/>
        <v>23065.734355415461</v>
      </c>
      <c r="BS36" s="833"/>
    </row>
    <row r="37" spans="1:71" s="24" customFormat="1" ht="15">
      <c r="A37" s="263" t="s">
        <v>41</v>
      </c>
      <c r="B37" s="445"/>
      <c r="C37" s="993">
        <f t="shared" si="101" ref="C37:AM37">C261</f>
        <v>3333</v>
      </c>
      <c r="D37" s="993">
        <f t="shared" si="101"/>
        <v>3317</v>
      </c>
      <c r="E37" s="993">
        <f t="shared" si="101"/>
        <v>3174</v>
      </c>
      <c r="F37" s="993">
        <f t="shared" si="101"/>
        <v>3045</v>
      </c>
      <c r="G37" s="993">
        <f t="shared" si="101"/>
        <v>1981</v>
      </c>
      <c r="H37" s="265">
        <f t="shared" si="101"/>
        <v>503</v>
      </c>
      <c r="I37" s="265">
        <f t="shared" si="101"/>
        <v>524</v>
      </c>
      <c r="J37" s="265">
        <f t="shared" si="101"/>
        <v>527</v>
      </c>
      <c r="K37" s="265">
        <f t="shared" si="101"/>
        <v>522</v>
      </c>
      <c r="L37" s="993">
        <f t="shared" si="101"/>
        <v>2076</v>
      </c>
      <c r="M37" s="265">
        <f t="shared" si="101"/>
        <v>504</v>
      </c>
      <c r="N37" s="265">
        <f t="shared" si="101"/>
        <v>524</v>
      </c>
      <c r="O37" s="265">
        <f t="shared" si="101"/>
        <v>539</v>
      </c>
      <c r="P37" s="265">
        <f t="shared" si="101"/>
        <v>518</v>
      </c>
      <c r="Q37" s="993">
        <f t="shared" si="101"/>
        <v>2085</v>
      </c>
      <c r="R37" s="265">
        <f t="shared" si="101"/>
        <v>552</v>
      </c>
      <c r="S37" s="265">
        <f t="shared" si="101"/>
        <v>559</v>
      </c>
      <c r="T37" s="265">
        <f t="shared" si="101"/>
        <v>573</v>
      </c>
      <c r="U37" s="265">
        <f t="shared" si="101"/>
        <v>576</v>
      </c>
      <c r="V37" s="993">
        <f t="shared" si="101"/>
        <v>2260</v>
      </c>
      <c r="W37" s="265">
        <f t="shared" si="101"/>
        <v>555</v>
      </c>
      <c r="X37" s="265">
        <f t="shared" si="101"/>
        <v>575</v>
      </c>
      <c r="Y37" s="265">
        <f t="shared" si="101"/>
        <v>591</v>
      </c>
      <c r="Z37" s="265">
        <f t="shared" si="101"/>
        <v>586</v>
      </c>
      <c r="AA37" s="993">
        <f t="shared" si="101"/>
        <v>2307</v>
      </c>
      <c r="AB37" s="265">
        <f t="shared" si="101"/>
        <v>582</v>
      </c>
      <c r="AC37" s="265">
        <f t="shared" si="101"/>
        <v>601</v>
      </c>
      <c r="AD37" s="265">
        <f t="shared" si="101"/>
        <v>617</v>
      </c>
      <c r="AE37" s="265">
        <f t="shared" si="101"/>
        <v>620</v>
      </c>
      <c r="AF37" s="993">
        <f t="shared" si="101"/>
        <v>2420</v>
      </c>
      <c r="AG37" s="265">
        <f t="shared" si="101"/>
        <v>606</v>
      </c>
      <c r="AH37" s="265">
        <f t="shared" si="101"/>
        <v>632</v>
      </c>
      <c r="AI37" s="265">
        <f t="shared" si="101"/>
        <v>653</v>
      </c>
      <c r="AJ37" s="265">
        <f t="shared" si="101"/>
        <v>674</v>
      </c>
      <c r="AK37" s="993">
        <f t="shared" si="101"/>
        <v>2565</v>
      </c>
      <c r="AL37" s="265">
        <f t="shared" si="101"/>
        <v>667</v>
      </c>
      <c r="AM37" s="265">
        <f t="shared" si="101"/>
        <v>693</v>
      </c>
      <c r="AN37" s="265">
        <f>AN261</f>
        <v>723</v>
      </c>
      <c r="AO37" s="265">
        <f t="shared" si="102" ref="AO37:AQ37">AO261</f>
        <v>740</v>
      </c>
      <c r="AP37" s="993">
        <f t="shared" si="102"/>
        <v>2823</v>
      </c>
      <c r="AQ37" s="265">
        <f t="shared" si="102"/>
        <v>743</v>
      </c>
      <c r="AR37" s="265">
        <f t="shared" si="103" ref="AR37:AW37">AR261</f>
        <v>776</v>
      </c>
      <c r="AS37" s="265">
        <f t="shared" si="103"/>
        <v>806</v>
      </c>
      <c r="AT37" s="265">
        <f t="shared" si="103"/>
        <v>813</v>
      </c>
      <c r="AU37" s="993">
        <f t="shared" si="103"/>
        <v>3138</v>
      </c>
      <c r="AV37" s="265">
        <f t="shared" si="103"/>
        <v>820</v>
      </c>
      <c r="AW37" s="265">
        <f t="shared" si="103"/>
        <v>851</v>
      </c>
      <c r="AX37" s="265">
        <f t="shared" si="104" ref="AX37:BC37">AX261</f>
        <v>877</v>
      </c>
      <c r="AY37" s="265">
        <f t="shared" si="104"/>
        <v>870</v>
      </c>
      <c r="AZ37" s="993">
        <f t="shared" si="104"/>
        <v>3418</v>
      </c>
      <c r="BA37" s="265">
        <f t="shared" si="104"/>
        <v>875</v>
      </c>
      <c r="BB37" s="265">
        <f t="shared" si="104"/>
        <v>911</v>
      </c>
      <c r="BC37" s="265">
        <f t="shared" si="104"/>
        <v>935</v>
      </c>
      <c r="BD37" s="265">
        <f>BD261</f>
        <v>934</v>
      </c>
      <c r="BE37" s="993">
        <f>BE261</f>
        <v>3655</v>
      </c>
      <c r="BF37" s="265">
        <f>BF261</f>
        <v>956</v>
      </c>
      <c r="BG37" s="265">
        <f>BG261</f>
        <v>977</v>
      </c>
      <c r="BH37" s="745">
        <f>BH261</f>
        <v>1009</v>
      </c>
      <c r="BI37" s="210">
        <f t="shared" si="98"/>
        <v>959.58302000000003</v>
      </c>
      <c r="BJ37" s="994">
        <f>SUM(BF37,BG37,BH37,BI37)</f>
        <v>3901.58302</v>
      </c>
      <c r="BK37" s="210">
        <f t="shared" si="99"/>
        <v>974.06729199999995</v>
      </c>
      <c r="BL37" s="210">
        <f t="shared" si="99"/>
        <v>1020.235909</v>
      </c>
      <c r="BM37" s="210">
        <f t="shared" si="99"/>
        <v>1054.6360549999999</v>
      </c>
      <c r="BN37" s="210">
        <f t="shared" si="99"/>
        <v>988.3705106000001</v>
      </c>
      <c r="BO37" s="994">
        <f>SUM(BK37,BL37,BM37,BN37)</f>
        <v>4037.3097665999999</v>
      </c>
      <c r="BP37" s="994">
        <f t="shared" si="100"/>
        <v>4198.8021572640018</v>
      </c>
      <c r="BQ37" s="994">
        <f t="shared" si="100"/>
        <v>4366.7542435545611</v>
      </c>
      <c r="BR37" s="994">
        <f t="shared" si="100"/>
        <v>4541.4244132967442</v>
      </c>
      <c r="BS37" s="833"/>
    </row>
    <row r="38" spans="1:71" s="24" customFormat="1" ht="15">
      <c r="A38" s="60" t="s">
        <v>42</v>
      </c>
      <c r="B38" s="446"/>
      <c r="C38" s="995">
        <f t="shared" si="105" ref="C38:AM38">C312</f>
        <v>7117</v>
      </c>
      <c r="D38" s="995">
        <f t="shared" si="105"/>
        <v>7349</v>
      </c>
      <c r="E38" s="995">
        <f t="shared" si="105"/>
        <v>7589</v>
      </c>
      <c r="F38" s="995">
        <f t="shared" si="105"/>
        <v>7621</v>
      </c>
      <c r="G38" s="995">
        <f t="shared" si="105"/>
        <v>7324</v>
      </c>
      <c r="H38" s="186">
        <f t="shared" si="105"/>
        <v>1762</v>
      </c>
      <c r="I38" s="186">
        <f t="shared" si="105"/>
        <v>1773</v>
      </c>
      <c r="J38" s="186">
        <f t="shared" si="105"/>
        <v>1796</v>
      </c>
      <c r="K38" s="186">
        <f t="shared" si="105"/>
        <v>1794</v>
      </c>
      <c r="L38" s="995">
        <f t="shared" si="105"/>
        <v>7125</v>
      </c>
      <c r="M38" s="186">
        <f t="shared" si="105"/>
        <v>1764</v>
      </c>
      <c r="N38" s="186">
        <f t="shared" si="105"/>
        <v>1798</v>
      </c>
      <c r="O38" s="186">
        <f t="shared" si="105"/>
        <v>1840</v>
      </c>
      <c r="P38" s="186">
        <f t="shared" si="105"/>
        <v>1866</v>
      </c>
      <c r="Q38" s="995">
        <f t="shared" si="105"/>
        <v>7268</v>
      </c>
      <c r="R38" s="186">
        <f t="shared" si="105"/>
        <v>2015</v>
      </c>
      <c r="S38" s="186">
        <f t="shared" si="105"/>
        <v>2069</v>
      </c>
      <c r="T38" s="186">
        <f t="shared" si="105"/>
        <v>2139</v>
      </c>
      <c r="U38" s="186">
        <f t="shared" si="105"/>
        <v>2196</v>
      </c>
      <c r="V38" s="995">
        <f t="shared" si="105"/>
        <v>8419</v>
      </c>
      <c r="W38" s="186">
        <f t="shared" si="105"/>
        <v>2199</v>
      </c>
      <c r="X38" s="186">
        <f t="shared" si="105"/>
        <v>2272</v>
      </c>
      <c r="Y38" s="186">
        <f t="shared" si="105"/>
        <v>2356</v>
      </c>
      <c r="Z38" s="186">
        <f t="shared" si="105"/>
        <v>2403</v>
      </c>
      <c r="AA38" s="995">
        <f t="shared" si="105"/>
        <v>9230</v>
      </c>
      <c r="AB38" s="186">
        <f t="shared" si="105"/>
        <v>2387</v>
      </c>
      <c r="AC38" s="186">
        <f t="shared" si="105"/>
        <v>2453</v>
      </c>
      <c r="AD38" s="186">
        <f t="shared" si="105"/>
        <v>2522</v>
      </c>
      <c r="AE38" s="186">
        <f t="shared" si="105"/>
        <v>2555</v>
      </c>
      <c r="AF38" s="995">
        <f t="shared" si="105"/>
        <v>9917</v>
      </c>
      <c r="AG38" s="186">
        <f t="shared" si="105"/>
        <v>2507</v>
      </c>
      <c r="AH38" s="186">
        <f t="shared" si="105"/>
        <v>2573</v>
      </c>
      <c r="AI38" s="186">
        <f t="shared" si="105"/>
        <v>2644</v>
      </c>
      <c r="AJ38" s="186">
        <f t="shared" si="105"/>
        <v>2683</v>
      </c>
      <c r="AK38" s="995">
        <f t="shared" si="105"/>
        <v>10407</v>
      </c>
      <c r="AL38" s="186">
        <f t="shared" si="105"/>
        <v>2698</v>
      </c>
      <c r="AM38" s="186">
        <f t="shared" si="105"/>
        <v>2527</v>
      </c>
      <c r="AN38" s="186">
        <f>AN312</f>
        <v>2816</v>
      </c>
      <c r="AO38" s="186">
        <f t="shared" si="106" ref="AO38:AQ38">AO312</f>
        <v>2886</v>
      </c>
      <c r="AP38" s="995">
        <f t="shared" si="106"/>
        <v>10927</v>
      </c>
      <c r="AQ38" s="186">
        <f t="shared" si="106"/>
        <v>2844</v>
      </c>
      <c r="AR38" s="186">
        <f t="shared" si="107" ref="AR38:AW38">AR312</f>
        <v>2960</v>
      </c>
      <c r="AS38" s="186">
        <f t="shared" si="107"/>
        <v>3053</v>
      </c>
      <c r="AT38" s="186">
        <f t="shared" si="107"/>
        <v>3126</v>
      </c>
      <c r="AU38" s="995">
        <f t="shared" si="107"/>
        <v>11983</v>
      </c>
      <c r="AV38" s="186">
        <f t="shared" si="107"/>
        <v>3123</v>
      </c>
      <c r="AW38" s="186">
        <f t="shared" si="107"/>
        <v>3248</v>
      </c>
      <c r="AX38" s="186">
        <f t="shared" si="108" ref="AX38:BC38">AX312</f>
        <v>3385</v>
      </c>
      <c r="AY38" s="186">
        <f t="shared" si="108"/>
        <v>3494</v>
      </c>
      <c r="AZ38" s="995">
        <f t="shared" si="108"/>
        <v>13250</v>
      </c>
      <c r="BA38" s="186">
        <f t="shared" si="108"/>
        <v>3502</v>
      </c>
      <c r="BB38" s="186">
        <f t="shared" si="108"/>
        <v>3661</v>
      </c>
      <c r="BC38" s="186">
        <f t="shared" si="108"/>
        <v>3827</v>
      </c>
      <c r="BD38" s="186">
        <f>BD312</f>
        <v>3972</v>
      </c>
      <c r="BE38" s="995">
        <f>BE312</f>
        <v>14962</v>
      </c>
      <c r="BF38" s="186">
        <f>BF312</f>
        <v>4010</v>
      </c>
      <c r="BG38" s="186">
        <f>BG312</f>
        <v>4098</v>
      </c>
      <c r="BH38" s="746">
        <f>BH312</f>
        <v>4221</v>
      </c>
      <c r="BI38" s="205">
        <f t="shared" si="98"/>
        <v>4114.6764119999998</v>
      </c>
      <c r="BJ38" s="996">
        <f>SUM(BF38,BG38,BH38,BI38)</f>
        <v>16443.676412000001</v>
      </c>
      <c r="BK38" s="205">
        <f t="shared" si="99"/>
        <v>3840.4020480000004</v>
      </c>
      <c r="BL38" s="205">
        <f t="shared" si="99"/>
        <v>4698.8144279999997</v>
      </c>
      <c r="BM38" s="205">
        <f t="shared" si="99"/>
        <v>4947.6901319999997</v>
      </c>
      <c r="BN38" s="205">
        <f t="shared" si="99"/>
        <v>4361.5569967200008</v>
      </c>
      <c r="BO38" s="996">
        <f>SUM(BK38,BL38,BM38,BN38)</f>
        <v>17848.46360472</v>
      </c>
      <c r="BP38" s="996">
        <f t="shared" si="100"/>
        <v>18469.415504332799</v>
      </c>
      <c r="BQ38" s="996">
        <f t="shared" si="100"/>
        <v>19577.580434592772</v>
      </c>
      <c r="BR38" s="996">
        <f t="shared" si="100"/>
        <v>20752.235260668338</v>
      </c>
      <c r="BS38" s="833"/>
    </row>
    <row r="39" spans="1:71" s="181" customFormat="1" ht="15">
      <c r="A39" s="62" t="s">
        <v>43</v>
      </c>
      <c r="B39" s="448"/>
      <c r="C39" s="999">
        <f t="shared" si="109" ref="C39:AM39">SUM(C36:C38)</f>
        <v>21418</v>
      </c>
      <c r="D39" s="999">
        <f t="shared" si="109"/>
        <v>21432</v>
      </c>
      <c r="E39" s="999">
        <f t="shared" si="109"/>
        <v>22090</v>
      </c>
      <c r="F39" s="999">
        <f t="shared" si="109"/>
        <v>22357</v>
      </c>
      <c r="G39" s="999">
        <f t="shared" si="109"/>
        <v>22637</v>
      </c>
      <c r="H39" s="99">
        <f t="shared" si="109"/>
        <v>5823</v>
      </c>
      <c r="I39" s="99">
        <f t="shared" si="109"/>
        <v>5928</v>
      </c>
      <c r="J39" s="99">
        <f t="shared" si="109"/>
        <v>5983</v>
      </c>
      <c r="K39" s="99">
        <f t="shared" si="109"/>
        <v>5979</v>
      </c>
      <c r="L39" s="999">
        <f t="shared" si="109"/>
        <v>23713</v>
      </c>
      <c r="M39" s="99">
        <f t="shared" si="109"/>
        <v>5888</v>
      </c>
      <c r="N39" s="99">
        <f t="shared" si="109"/>
        <v>5931</v>
      </c>
      <c r="O39" s="99">
        <f t="shared" si="109"/>
        <v>6032</v>
      </c>
      <c r="P39" s="99">
        <f t="shared" si="109"/>
        <v>6023</v>
      </c>
      <c r="Q39" s="999">
        <f t="shared" si="109"/>
        <v>23874</v>
      </c>
      <c r="R39" s="99">
        <f t="shared" si="109"/>
        <v>5981</v>
      </c>
      <c r="S39" s="99">
        <f t="shared" si="109"/>
        <v>6067</v>
      </c>
      <c r="T39" s="99">
        <f t="shared" si="109"/>
        <v>6209</v>
      </c>
      <c r="U39" s="99">
        <f t="shared" si="109"/>
        <v>6277</v>
      </c>
      <c r="V39" s="999">
        <f t="shared" si="109"/>
        <v>24534</v>
      </c>
      <c r="W39" s="99">
        <f t="shared" si="109"/>
        <v>6183</v>
      </c>
      <c r="X39" s="99">
        <f t="shared" si="109"/>
        <v>6351</v>
      </c>
      <c r="Y39" s="99">
        <f t="shared" si="109"/>
        <v>6523</v>
      </c>
      <c r="Z39" s="99">
        <f t="shared" si="109"/>
        <v>6626</v>
      </c>
      <c r="AA39" s="999">
        <f t="shared" si="109"/>
        <v>25683</v>
      </c>
      <c r="AB39" s="99">
        <f t="shared" si="109"/>
        <v>6537</v>
      </c>
      <c r="AC39" s="99">
        <f t="shared" si="109"/>
        <v>6695</v>
      </c>
      <c r="AD39" s="99">
        <f t="shared" si="109"/>
        <v>6882</v>
      </c>
      <c r="AE39" s="99">
        <f t="shared" si="109"/>
        <v>6945</v>
      </c>
      <c r="AF39" s="999">
        <f t="shared" si="109"/>
        <v>27059</v>
      </c>
      <c r="AG39" s="99">
        <f t="shared" si="109"/>
        <v>6855</v>
      </c>
      <c r="AH39" s="99">
        <f t="shared" si="109"/>
        <v>6988</v>
      </c>
      <c r="AI39" s="99">
        <f t="shared" si="109"/>
        <v>7179</v>
      </c>
      <c r="AJ39" s="99">
        <f t="shared" si="109"/>
        <v>7250</v>
      </c>
      <c r="AK39" s="999">
        <f t="shared" si="109"/>
        <v>28272</v>
      </c>
      <c r="AL39" s="99">
        <f t="shared" si="109"/>
        <v>7229</v>
      </c>
      <c r="AM39" s="99">
        <f t="shared" si="109"/>
        <v>6955</v>
      </c>
      <c r="AN39" s="99">
        <f>SUM(AN36:AN38)</f>
        <v>7380</v>
      </c>
      <c r="AO39" s="99">
        <f t="shared" si="110" ref="AO39:AQ39">SUM(AO36:AO38)</f>
        <v>7480</v>
      </c>
      <c r="AP39" s="999">
        <f t="shared" si="110"/>
        <v>29044</v>
      </c>
      <c r="AQ39" s="99">
        <f t="shared" si="110"/>
        <v>7386</v>
      </c>
      <c r="AR39" s="99">
        <f t="shared" si="111" ref="AR39:AW39">SUM(AR36:AR38)</f>
        <v>7616</v>
      </c>
      <c r="AS39" s="99">
        <f t="shared" si="111"/>
        <v>7829</v>
      </c>
      <c r="AT39" s="99">
        <f t="shared" si="111"/>
        <v>8024</v>
      </c>
      <c r="AU39" s="999">
        <f t="shared" si="111"/>
        <v>30855</v>
      </c>
      <c r="AV39" s="99">
        <f t="shared" si="111"/>
        <v>8014</v>
      </c>
      <c r="AW39" s="99">
        <f t="shared" si="111"/>
        <v>8317</v>
      </c>
      <c r="AX39" s="99">
        <f t="shared" si="112" ref="AX39:BJ39">SUM(AX36:AX38)</f>
        <v>8615</v>
      </c>
      <c r="AY39" s="99">
        <f t="shared" si="112"/>
        <v>8817</v>
      </c>
      <c r="AZ39" s="999">
        <f t="shared" si="112"/>
        <v>33763</v>
      </c>
      <c r="BA39" s="99">
        <f t="shared" si="113" ref="BA39:BI39">SUM(BA36:BA38)</f>
        <v>8854</v>
      </c>
      <c r="BB39" s="99">
        <f t="shared" si="113"/>
        <v>9216</v>
      </c>
      <c r="BC39" s="99">
        <f t="shared" si="113"/>
        <v>9718</v>
      </c>
      <c r="BD39" s="99">
        <f t="shared" si="113"/>
        <v>9973</v>
      </c>
      <c r="BE39" s="999">
        <f t="shared" si="113"/>
        <v>37761</v>
      </c>
      <c r="BF39" s="99">
        <f>SUM(BF36:BF38)</f>
        <v>10126</v>
      </c>
      <c r="BG39" s="99">
        <f>SUM(BG36:BG38)</f>
        <v>10243</v>
      </c>
      <c r="BH39" s="748">
        <f>SUM(BH36:BH38)</f>
        <v>10704</v>
      </c>
      <c r="BI39" s="647">
        <f t="shared" si="113"/>
        <v>10189.502906</v>
      </c>
      <c r="BJ39" s="1000">
        <f t="shared" si="112"/>
        <v>41262.502906000002</v>
      </c>
      <c r="BK39" s="647">
        <f t="shared" si="114" ref="BK39:BR39">SUM(BK36:BK38)</f>
        <v>10806.459526000001</v>
      </c>
      <c r="BL39" s="647">
        <f t="shared" si="114"/>
        <v>11569.242586</v>
      </c>
      <c r="BM39" s="647">
        <f t="shared" si="114"/>
        <v>11856.311720000002</v>
      </c>
      <c r="BN39" s="647">
        <f t="shared" si="114"/>
        <v>10618.62828554</v>
      </c>
      <c r="BO39" s="1000">
        <f t="shared" si="114"/>
        <v>44850.642117540003</v>
      </c>
      <c r="BP39" s="1000">
        <f t="shared" si="114"/>
        <v>45057.243704854794</v>
      </c>
      <c r="BQ39" s="1000">
        <f t="shared" si="114"/>
        <v>46669.196112054196</v>
      </c>
      <c r="BR39" s="1000">
        <f t="shared" si="114"/>
        <v>48359.394029380543</v>
      </c>
      <c r="BS39" s="423"/>
    </row>
    <row r="40" spans="1:71" s="221" customFormat="1" ht="15">
      <c r="A40" s="884" t="str">
        <f>CONCATENATE("Consensus Estimates - ",IFERROR(LEFT(A39,FIND("(",A39)-1),A39))</f>
        <v>Consensus Estimates - Total Net Earned Premiums, mm</v>
      </c>
      <c r="B40" s="885"/>
      <c r="C40" s="1001"/>
      <c r="D40" s="1001"/>
      <c r="E40" s="1001"/>
      <c r="F40" s="1001"/>
      <c r="G40" s="1001"/>
      <c r="H40" s="850"/>
      <c r="I40" s="850"/>
      <c r="J40" s="850"/>
      <c r="K40" s="850"/>
      <c r="L40" s="1001"/>
      <c r="M40" s="850"/>
      <c r="N40" s="850"/>
      <c r="O40" s="850"/>
      <c r="P40" s="850"/>
      <c r="Q40" s="1001"/>
      <c r="R40" s="850"/>
      <c r="S40" s="851"/>
      <c r="T40" s="850"/>
      <c r="U40" s="850"/>
      <c r="V40" s="1001"/>
      <c r="W40" s="850"/>
      <c r="X40" s="851"/>
      <c r="Y40" s="850"/>
      <c r="Z40" s="850"/>
      <c r="AA40" s="1002"/>
      <c r="AB40" s="850"/>
      <c r="AC40" s="851"/>
      <c r="AD40" s="850"/>
      <c r="AE40" s="850"/>
      <c r="AF40" s="1002"/>
      <c r="AG40" s="850"/>
      <c r="AH40" s="851"/>
      <c r="AI40" s="850"/>
      <c r="AJ40" s="850"/>
      <c r="AK40" s="1002"/>
      <c r="AL40" s="850"/>
      <c r="AM40" s="851"/>
      <c r="AN40" s="850"/>
      <c r="AO40" s="850"/>
      <c r="AP40" s="1002"/>
      <c r="AQ40" s="850"/>
      <c r="AR40" s="851"/>
      <c r="AS40" s="850"/>
      <c r="AT40" s="850"/>
      <c r="AU40" s="1002"/>
      <c r="AV40" s="850"/>
      <c r="AW40" s="851"/>
      <c r="AX40" s="850"/>
      <c r="AY40" s="850"/>
      <c r="AZ40" s="1002"/>
      <c r="BA40" s="850"/>
      <c r="BB40" s="851"/>
      <c r="BC40" s="850"/>
      <c r="BD40" s="850"/>
      <c r="BE40" s="1002"/>
      <c r="BF40" s="850"/>
      <c r="BG40" s="851"/>
      <c r="BH40" s="853"/>
      <c r="BI40" s="854" t="str">
        <f ca="1" t="shared" si="115" ref="BI40:BO40">IFERROR(VLOOKUP($A40,tb_ConsensusEstimate,MATCH(BI$5,OFFSET(tb_ConsensusEstimate,0,0,1,COLUMNS(tb_ConsensusEstimate)),0),FALSE),"-")</f>
        <v>N/A</v>
      </c>
      <c r="BJ40" s="1003" t="str">
        <f t="shared" ca="1" si="115"/>
        <v>N/A</v>
      </c>
      <c r="BK40" s="854" t="str">
        <f t="shared" ca="1" si="115"/>
        <v>N/A</v>
      </c>
      <c r="BL40" s="854" t="str">
        <f t="shared" ca="1" si="115"/>
        <v>N/A</v>
      </c>
      <c r="BM40" s="854" t="str">
        <f t="shared" ca="1" si="115"/>
        <v>N/A</v>
      </c>
      <c r="BN40" s="854" t="str">
        <f t="shared" ca="1" si="115"/>
        <v>N/A</v>
      </c>
      <c r="BO40" s="1003" t="str">
        <f t="shared" ca="1" si="115"/>
        <v>N/A</v>
      </c>
      <c r="BP40" s="1003" t="str">
        <f ca="1">IFERROR(VLOOKUP($A40,tb_ConsensusEstimate,MATCH(BP5,OFFSET(tb_ConsensusEstimate,0,0,1,COLUMNS(tb_ConsensusEstimate)),0),FALSE),"-")</f>
        <v>N/A</v>
      </c>
      <c r="BQ40" s="1003" t="str">
        <f ca="1">IFERROR(VLOOKUP($A40,tb_ConsensusEstimate,MATCH(BQ5,OFFSET(tb_ConsensusEstimate,0,0,1,COLUMNS(tb_ConsensusEstimate)),0),FALSE),"-")</f>
        <v>N/A</v>
      </c>
      <c r="BR40" s="1003" t="str">
        <f ca="1">IFERROR(VLOOKUP($A40,tb_ConsensusEstimate,MATCH(BR5,OFFSET(tb_ConsensusEstimate,0,0,1,COLUMNS(tb_ConsensusEstimate)),0),FALSE),"-")</f>
        <v>N/A</v>
      </c>
      <c r="BS40" s="269"/>
    </row>
    <row r="41" spans="1:71" s="29" customFormat="1" ht="15">
      <c r="A41" s="450"/>
      <c r="B41" s="837"/>
      <c r="C41" s="1004"/>
      <c r="D41" s="1004"/>
      <c r="E41" s="1004"/>
      <c r="F41" s="1004"/>
      <c r="G41" s="1004"/>
      <c r="H41" s="269"/>
      <c r="I41" s="269"/>
      <c r="J41" s="269"/>
      <c r="K41" s="269"/>
      <c r="L41" s="1004"/>
      <c r="M41" s="269"/>
      <c r="N41" s="269"/>
      <c r="O41" s="269"/>
      <c r="P41" s="269"/>
      <c r="Q41" s="1004"/>
      <c r="R41" s="269"/>
      <c r="S41" s="319"/>
      <c r="T41" s="269"/>
      <c r="U41" s="269"/>
      <c r="V41" s="1004"/>
      <c r="W41" s="269"/>
      <c r="X41" s="319"/>
      <c r="Y41" s="269"/>
      <c r="Z41" s="269"/>
      <c r="AA41" s="1005"/>
      <c r="AB41" s="269"/>
      <c r="AC41" s="319"/>
      <c r="AD41" s="269"/>
      <c r="AE41" s="269"/>
      <c r="AF41" s="1005"/>
      <c r="AG41" s="269"/>
      <c r="AH41" s="319"/>
      <c r="AI41" s="269"/>
      <c r="AJ41" s="269"/>
      <c r="AK41" s="1005"/>
      <c r="AL41" s="269"/>
      <c r="AM41" s="319"/>
      <c r="AN41" s="269"/>
      <c r="AO41" s="269"/>
      <c r="AP41" s="1005"/>
      <c r="AQ41" s="269"/>
      <c r="AR41" s="319"/>
      <c r="AS41" s="269"/>
      <c r="AT41" s="269"/>
      <c r="AU41" s="1005"/>
      <c r="AV41" s="269"/>
      <c r="AW41" s="319"/>
      <c r="AX41" s="269"/>
      <c r="AY41" s="269"/>
      <c r="AZ41" s="1005"/>
      <c r="BA41" s="269"/>
      <c r="BB41" s="319"/>
      <c r="BC41" s="269"/>
      <c r="BD41" s="269"/>
      <c r="BE41" s="1005"/>
      <c r="BF41" s="269"/>
      <c r="BG41" s="319"/>
      <c r="BH41" s="819"/>
      <c r="BI41" s="269"/>
      <c r="BJ41" s="1005"/>
      <c r="BK41" s="269"/>
      <c r="BL41" s="269"/>
      <c r="BM41" s="269"/>
      <c r="BN41" s="269"/>
      <c r="BO41" s="1005"/>
      <c r="BP41" s="1005"/>
      <c r="BQ41" s="1005"/>
      <c r="BR41" s="1005"/>
      <c r="BS41" s="42"/>
    </row>
    <row r="42" spans="1:71" s="583" customFormat="1" ht="15">
      <c r="A42" s="580" t="s">
        <v>567</v>
      </c>
      <c r="B42" s="445"/>
      <c r="C42" s="1006">
        <f t="shared" si="116" ref="C42:AR42">C$36*C92</f>
        <v>6881.5360000000001</v>
      </c>
      <c r="D42" s="1006">
        <f t="shared" si="116"/>
        <v>6966.9380000000001</v>
      </c>
      <c r="E42" s="1006">
        <f t="shared" si="116"/>
        <v>7676.7640000000001</v>
      </c>
      <c r="F42" s="1006">
        <f t="shared" si="116"/>
        <v>7529.6519999999991</v>
      </c>
      <c r="G42" s="1006">
        <f t="shared" si="116"/>
        <v>8351.66</v>
      </c>
      <c r="H42" s="471">
        <f t="shared" si="116"/>
        <v>2187.674</v>
      </c>
      <c r="I42" s="471">
        <f t="shared" si="116"/>
        <v>2262.5569999999998</v>
      </c>
      <c r="J42" s="471">
        <f t="shared" si="116"/>
        <v>2349.02</v>
      </c>
      <c r="K42" s="471">
        <f t="shared" si="116"/>
        <v>2303.183</v>
      </c>
      <c r="L42" s="1006">
        <f t="shared" si="116"/>
        <v>9101.4639999999999</v>
      </c>
      <c r="M42" s="471">
        <f t="shared" si="116"/>
        <v>2243.2800000000002</v>
      </c>
      <c r="N42" s="471">
        <f t="shared" si="116"/>
        <v>2234.3910000000001</v>
      </c>
      <c r="O42" s="471">
        <f t="shared" si="116"/>
        <v>2239.9590000000003</v>
      </c>
      <c r="P42" s="471">
        <f t="shared" si="116"/>
        <v>2301.6720000000005</v>
      </c>
      <c r="Q42" s="1006">
        <f t="shared" si="116"/>
        <v>9018.7309999999998</v>
      </c>
      <c r="R42" s="471">
        <f t="shared" si="116"/>
        <v>2141.306</v>
      </c>
      <c r="S42" s="582">
        <f t="shared" si="116"/>
        <v>2202.732</v>
      </c>
      <c r="T42" s="471">
        <f t="shared" si="116"/>
        <v>2204.06</v>
      </c>
      <c r="U42" s="471">
        <f t="shared" si="116"/>
        <v>2169.21</v>
      </c>
      <c r="V42" s="1006">
        <f t="shared" si="116"/>
        <v>8711.4349999999995</v>
      </c>
      <c r="W42" s="471">
        <f t="shared" si="116"/>
        <v>2196.42</v>
      </c>
      <c r="X42" s="582">
        <f t="shared" si="116"/>
        <v>2246.4319999999998</v>
      </c>
      <c r="Y42" s="471">
        <f t="shared" si="116"/>
        <v>2367.8160000000003</v>
      </c>
      <c r="Z42" s="471">
        <f t="shared" si="116"/>
        <v>2295.7610000000004</v>
      </c>
      <c r="AA42" s="1006">
        <f t="shared" si="116"/>
        <v>9110.7660000000014</v>
      </c>
      <c r="AB42" s="471">
        <f t="shared" si="116"/>
        <v>2320.6400000000003</v>
      </c>
      <c r="AC42" s="582">
        <f t="shared" si="116"/>
        <v>2400.2569999999996</v>
      </c>
      <c r="AD42" s="471">
        <f t="shared" si="116"/>
        <v>2458.364</v>
      </c>
      <c r="AE42" s="471">
        <f t="shared" si="116"/>
        <v>2491.1999999999998</v>
      </c>
      <c r="AF42" s="1006">
        <f t="shared" si="116"/>
        <v>9670.4519999999993</v>
      </c>
      <c r="AG42" s="471">
        <f t="shared" si="116"/>
        <v>2463.998</v>
      </c>
      <c r="AH42" s="582">
        <f t="shared" si="116"/>
        <v>2546.029</v>
      </c>
      <c r="AI42" s="471">
        <f t="shared" si="116"/>
        <v>2597.098</v>
      </c>
      <c r="AJ42" s="471">
        <f t="shared" si="116"/>
        <v>2626.1770000000001</v>
      </c>
      <c r="AK42" s="1006">
        <f t="shared" si="116"/>
        <v>10243.90</v>
      </c>
      <c r="AL42" s="471">
        <f t="shared" si="116"/>
        <v>2601.6639999999998</v>
      </c>
      <c r="AM42" s="582">
        <f t="shared" si="116"/>
        <v>2502.7650000000003</v>
      </c>
      <c r="AN42" s="471">
        <f t="shared" si="116"/>
        <v>2485.1969999999997</v>
      </c>
      <c r="AO42" s="471">
        <f t="shared" si="116"/>
        <v>2475.4520000000002</v>
      </c>
      <c r="AP42" s="1006">
        <f t="shared" si="116"/>
        <v>10069.887999999999</v>
      </c>
      <c r="AQ42" s="471">
        <f t="shared" si="116"/>
        <v>2415.6979999999999</v>
      </c>
      <c r="AR42" s="582">
        <f t="shared" si="116"/>
        <v>2461.40</v>
      </c>
      <c r="AS42" s="471">
        <f t="shared" si="117" ref="AS42:AU44">AS$36*AS92</f>
        <v>2413.19</v>
      </c>
      <c r="AT42" s="471">
        <f t="shared" si="117"/>
        <v>2482.38</v>
      </c>
      <c r="AU42" s="1006">
        <f t="shared" si="117"/>
        <v>9768.6399999999994</v>
      </c>
      <c r="AV42" s="471">
        <f t="shared" si="118" ref="AV42:AW44">AV$36*AV92</f>
        <v>2550.6390000000001</v>
      </c>
      <c r="AW42" s="582">
        <f t="shared" si="118"/>
        <v>2664.2559999999999</v>
      </c>
      <c r="AX42" s="471">
        <f t="shared" si="119" ref="AX42:AZ44">AX$36*AX92</f>
        <v>2684.761</v>
      </c>
      <c r="AY42" s="471">
        <f t="shared" si="119"/>
        <v>2736</v>
      </c>
      <c r="AZ42" s="1006">
        <f t="shared" si="119"/>
        <v>10633.48</v>
      </c>
      <c r="BA42" s="471">
        <f t="shared" si="120" ref="BA42:BB44">BA$36*BA92</f>
        <v>2727.9199999999996</v>
      </c>
      <c r="BB42" s="582">
        <f t="shared" si="120"/>
        <v>2799.0920000000001</v>
      </c>
      <c r="BC42" s="471">
        <f t="shared" si="121" ref="BC42:BI44">BC$36*BC92</f>
        <v>3053.1359999999995</v>
      </c>
      <c r="BD42" s="471">
        <f t="shared" si="121"/>
        <v>2989.201</v>
      </c>
      <c r="BE42" s="1006">
        <f t="shared" si="121"/>
        <v>11585.647999999999</v>
      </c>
      <c r="BF42" s="471">
        <f t="shared" si="122" ref="BF42:BG44">BF$36*BF92</f>
        <v>3119.4399999999996</v>
      </c>
      <c r="BG42" s="582">
        <f t="shared" si="122"/>
        <v>3114.4080000000004</v>
      </c>
      <c r="BH42" s="820">
        <f>BH$36*BH92</f>
        <v>3265.5540000000001</v>
      </c>
      <c r="BI42" s="471">
        <f t="shared" si="121"/>
        <v>3222.6033886199998</v>
      </c>
      <c r="BJ42" s="1006">
        <f t="shared" si="123" ref="BJ42:BJ53">SUM(BF42,BG42,BH42,BI42)</f>
        <v>12722.00538862</v>
      </c>
      <c r="BK42" s="471">
        <f t="shared" si="124" ref="BK42:BN44">BK$36*BK92</f>
        <v>3774.95381718</v>
      </c>
      <c r="BL42" s="471">
        <f t="shared" si="124"/>
        <v>3685.6211168700006</v>
      </c>
      <c r="BM42" s="471">
        <f t="shared" si="124"/>
        <v>3629.4710304600007</v>
      </c>
      <c r="BN42" s="471">
        <f t="shared" si="124"/>
        <v>3319.2814902785999</v>
      </c>
      <c r="BO42" s="1006">
        <f t="shared" si="125" ref="BO42:BO53">SUM(BK42,BL42,BM42,BN42)</f>
        <v>14409.327454788601</v>
      </c>
      <c r="BP42" s="1006">
        <f t="shared" si="126" ref="BP42:BR44">BP$36*BP92</f>
        <v>14105.086407252535</v>
      </c>
      <c r="BQ42" s="1006">
        <f t="shared" si="126"/>
        <v>14089.414089022253</v>
      </c>
      <c r="BR42" s="1006">
        <f t="shared" si="126"/>
        <v>14531.412643911741</v>
      </c>
      <c r="BS42" s="263"/>
    </row>
    <row r="43" spans="1:71" s="583" customFormat="1" ht="15">
      <c r="A43" s="580" t="s">
        <v>550</v>
      </c>
      <c r="B43" s="445"/>
      <c r="C43" s="1006">
        <f t="shared" si="127" ref="C43:AR43">C$36*C93</f>
        <v>-1020.024</v>
      </c>
      <c r="D43" s="1006">
        <f t="shared" si="127"/>
        <v>-904.34400000000005</v>
      </c>
      <c r="E43" s="1006">
        <f t="shared" si="127"/>
        <v>-249.19399999999999</v>
      </c>
      <c r="F43" s="1006">
        <f t="shared" si="127"/>
        <v>-467.64</v>
      </c>
      <c r="G43" s="1006">
        <f t="shared" si="127"/>
        <v>-399.96</v>
      </c>
      <c r="H43" s="471">
        <f t="shared" si="127"/>
        <v>-96.066000000000003</v>
      </c>
      <c r="I43" s="471">
        <f t="shared" si="127"/>
        <v>-47.202999999999996</v>
      </c>
      <c r="J43" s="471">
        <f t="shared" si="127"/>
        <v>-21.96</v>
      </c>
      <c r="K43" s="471">
        <f t="shared" si="127"/>
        <v>-157.50899999999999</v>
      </c>
      <c r="L43" s="1006">
        <f t="shared" si="127"/>
        <v>-319.26399999999995</v>
      </c>
      <c r="M43" s="471">
        <f t="shared" si="127"/>
        <v>-76.02000000000001</v>
      </c>
      <c r="N43" s="471">
        <f t="shared" si="127"/>
        <v>-101.05200000000001</v>
      </c>
      <c r="O43" s="471">
        <f t="shared" si="127"/>
        <v>-51.142000000000003</v>
      </c>
      <c r="P43" s="471">
        <f t="shared" si="127"/>
        <v>-174.672</v>
      </c>
      <c r="Q43" s="1006">
        <f t="shared" si="127"/>
        <v>-406.58800000000002</v>
      </c>
      <c r="R43" s="471">
        <f t="shared" si="127"/>
        <v>-75.10799999999999</v>
      </c>
      <c r="S43" s="582">
        <f t="shared" si="127"/>
        <v>-123.80399999999999</v>
      </c>
      <c r="T43" s="471">
        <f t="shared" si="127"/>
        <v>-3.4969999999999999</v>
      </c>
      <c r="U43" s="471">
        <f t="shared" si="127"/>
        <v>-220.815</v>
      </c>
      <c r="V43" s="1006">
        <f t="shared" si="127"/>
        <v>-429.505</v>
      </c>
      <c r="W43" s="471">
        <f t="shared" si="127"/>
        <v>-61.721999999999994</v>
      </c>
      <c r="X43" s="582">
        <f t="shared" si="127"/>
        <v>-126.14399999999999</v>
      </c>
      <c r="Y43" s="471">
        <f t="shared" si="127"/>
        <v>-10.728</v>
      </c>
      <c r="Z43" s="471">
        <f t="shared" si="127"/>
        <v>-243.679</v>
      </c>
      <c r="AA43" s="1006">
        <f t="shared" si="127"/>
        <v>-438.52600000000001</v>
      </c>
      <c r="AB43" s="471">
        <f t="shared" si="127"/>
        <v>-67.792000000000002</v>
      </c>
      <c r="AC43" s="582">
        <f t="shared" si="127"/>
        <v>-83.742999999999995</v>
      </c>
      <c r="AD43" s="471">
        <f t="shared" si="127"/>
        <v>56.145</v>
      </c>
      <c r="AE43" s="471">
        <f t="shared" si="127"/>
        <v>-45.24</v>
      </c>
      <c r="AF43" s="1006">
        <f t="shared" si="127"/>
        <v>-147.22</v>
      </c>
      <c r="AG43" s="471">
        <f t="shared" si="127"/>
        <v>22.452000000000002</v>
      </c>
      <c r="AH43" s="582">
        <f t="shared" si="127"/>
        <v>-71.876999999999995</v>
      </c>
      <c r="AI43" s="471">
        <f t="shared" si="127"/>
        <v>314.44200000000001</v>
      </c>
      <c r="AJ43" s="471">
        <f t="shared" si="127"/>
        <v>-7.7860000000000005</v>
      </c>
      <c r="AK43" s="1006">
        <f t="shared" si="127"/>
        <v>260.10000000000002</v>
      </c>
      <c r="AL43" s="471">
        <f t="shared" si="127"/>
        <v>-3.8639999999999999</v>
      </c>
      <c r="AM43" s="582">
        <f t="shared" si="127"/>
        <v>0</v>
      </c>
      <c r="AN43" s="471">
        <f t="shared" si="127"/>
        <v>222.77800000000002</v>
      </c>
      <c r="AO43" s="471">
        <f t="shared" si="127"/>
        <v>-123.328</v>
      </c>
      <c r="AP43" s="1006">
        <f t="shared" si="127"/>
        <v>91.763999999999996</v>
      </c>
      <c r="AQ43" s="471">
        <f t="shared" si="127"/>
        <v>-132.965</v>
      </c>
      <c r="AR43" s="582">
        <f t="shared" si="127"/>
        <v>-73.72</v>
      </c>
      <c r="AS43" s="471">
        <f t="shared" si="117"/>
        <v>107.19</v>
      </c>
      <c r="AT43" s="471">
        <f t="shared" si="117"/>
        <v>-73.53</v>
      </c>
      <c r="AU43" s="1006">
        <f t="shared" si="117"/>
        <v>-173.07399999999998</v>
      </c>
      <c r="AV43" s="471">
        <f t="shared" si="118"/>
        <v>-113.988</v>
      </c>
      <c r="AW43" s="582">
        <f t="shared" si="118"/>
        <v>-202.464</v>
      </c>
      <c r="AX43" s="471">
        <f t="shared" si="119"/>
        <v>60.942</v>
      </c>
      <c r="AY43" s="471">
        <f t="shared" si="119"/>
        <v>-124.684</v>
      </c>
      <c r="AZ43" s="1006">
        <f>AZ$36*AZ93</f>
        <v>-376.09</v>
      </c>
      <c r="BA43" s="471">
        <f t="shared" si="120"/>
        <v>-17.908000000000001</v>
      </c>
      <c r="BB43" s="582">
        <f t="shared" si="120"/>
        <v>102.16799999999999</v>
      </c>
      <c r="BC43" s="471">
        <f t="shared" si="121"/>
        <v>262.66800000000001</v>
      </c>
      <c r="BD43" s="471">
        <f t="shared" si="121"/>
        <v>-55.736999999999995</v>
      </c>
      <c r="BE43" s="1006">
        <f t="shared" si="121"/>
        <v>287.15999999999997</v>
      </c>
      <c r="BF43" s="471">
        <f t="shared" si="122"/>
        <v>0</v>
      </c>
      <c r="BG43" s="582">
        <f t="shared" si="122"/>
        <v>-31.007999999999999</v>
      </c>
      <c r="BH43" s="820">
        <f>BH$36*BH93</f>
        <v>93.058000000000007</v>
      </c>
      <c r="BI43" s="471">
        <f t="shared" si="121"/>
        <v>0</v>
      </c>
      <c r="BJ43" s="1006">
        <f t="shared" si="123"/>
        <v>62.050000000000011</v>
      </c>
      <c r="BK43" s="471">
        <f t="shared" si="124"/>
        <v>0</v>
      </c>
      <c r="BL43" s="471">
        <f t="shared" si="124"/>
        <v>0</v>
      </c>
      <c r="BM43" s="471">
        <f t="shared" si="124"/>
        <v>0</v>
      </c>
      <c r="BN43" s="471">
        <f t="shared" si="124"/>
        <v>0</v>
      </c>
      <c r="BO43" s="1006">
        <f t="shared" si="125"/>
        <v>0</v>
      </c>
      <c r="BP43" s="1006">
        <f t="shared" si="126"/>
        <v>0</v>
      </c>
      <c r="BQ43" s="1006">
        <f t="shared" si="126"/>
        <v>0</v>
      </c>
      <c r="BR43" s="1006">
        <f t="shared" si="126"/>
        <v>0</v>
      </c>
      <c r="BS43" s="263"/>
    </row>
    <row r="44" spans="1:71" s="583" customFormat="1" ht="15">
      <c r="A44" s="581" t="s">
        <v>551</v>
      </c>
      <c r="B44" s="446"/>
      <c r="C44" s="1007">
        <f t="shared" si="128" ref="C44:AR44">C$36*C94</f>
        <v>175.488</v>
      </c>
      <c r="D44" s="1007">
        <f t="shared" si="128"/>
        <v>441.40600000000001</v>
      </c>
      <c r="E44" s="1007">
        <f t="shared" si="128"/>
        <v>1019.4299999999999</v>
      </c>
      <c r="F44" s="1007">
        <f t="shared" si="128"/>
        <v>794.98800000000006</v>
      </c>
      <c r="G44" s="1007">
        <f t="shared" si="128"/>
        <v>333.30</v>
      </c>
      <c r="H44" s="566">
        <f t="shared" si="128"/>
        <v>85.391999999999996</v>
      </c>
      <c r="I44" s="566">
        <f t="shared" si="128"/>
        <v>239.64600000000002</v>
      </c>
      <c r="J44" s="566">
        <f t="shared" si="128"/>
        <v>32.94</v>
      </c>
      <c r="K44" s="566">
        <f t="shared" si="128"/>
        <v>7.3260000000000005</v>
      </c>
      <c r="L44" s="1007">
        <f t="shared" si="128"/>
        <v>362.80</v>
      </c>
      <c r="M44" s="566">
        <f t="shared" si="128"/>
        <v>97.74</v>
      </c>
      <c r="N44" s="566">
        <f t="shared" si="128"/>
        <v>104.661</v>
      </c>
      <c r="O44" s="566">
        <f t="shared" si="128"/>
        <v>40.183</v>
      </c>
      <c r="P44" s="566">
        <f t="shared" si="128"/>
        <v>0</v>
      </c>
      <c r="Q44" s="1007">
        <f t="shared" si="128"/>
        <v>246.85700000000003</v>
      </c>
      <c r="R44" s="566">
        <f t="shared" si="128"/>
        <v>146.80199999999999</v>
      </c>
      <c r="S44" s="584">
        <f t="shared" si="128"/>
        <v>165.072</v>
      </c>
      <c r="T44" s="566">
        <f t="shared" si="128"/>
        <v>73.436999999999998</v>
      </c>
      <c r="U44" s="566">
        <f t="shared" si="128"/>
        <v>73.605</v>
      </c>
      <c r="V44" s="1007">
        <f t="shared" si="128"/>
        <v>471.07000000000005</v>
      </c>
      <c r="W44" s="566">
        <f t="shared" si="128"/>
        <v>130.30199999999999</v>
      </c>
      <c r="X44" s="584">
        <f t="shared" si="128"/>
        <v>185.71199999999999</v>
      </c>
      <c r="Y44" s="566">
        <f t="shared" si="128"/>
        <v>489.91200000000003</v>
      </c>
      <c r="Z44" s="566">
        <f t="shared" si="128"/>
        <v>50.917999999999999</v>
      </c>
      <c r="AA44" s="1007">
        <f t="shared" si="128"/>
        <v>848.76</v>
      </c>
      <c r="AB44" s="566">
        <f t="shared" si="128"/>
        <v>139.15199999999999</v>
      </c>
      <c r="AC44" s="584">
        <f t="shared" si="128"/>
        <v>167.48599999999999</v>
      </c>
      <c r="AD44" s="566">
        <f t="shared" si="128"/>
        <v>138.49099999999999</v>
      </c>
      <c r="AE44" s="566">
        <f t="shared" si="128"/>
        <v>196.04</v>
      </c>
      <c r="AF44" s="1007">
        <f t="shared" si="128"/>
        <v>647.76799999999992</v>
      </c>
      <c r="AG44" s="566">
        <f t="shared" si="128"/>
        <v>93.550000000000011</v>
      </c>
      <c r="AH44" s="584">
        <f t="shared" si="128"/>
        <v>211.84800000000001</v>
      </c>
      <c r="AI44" s="566">
        <f t="shared" si="128"/>
        <v>116.45999999999999</v>
      </c>
      <c r="AJ44" s="566">
        <f t="shared" si="128"/>
        <v>50.608999999999995</v>
      </c>
      <c r="AK44" s="1007">
        <f t="shared" si="128"/>
        <v>459</v>
      </c>
      <c r="AL44" s="566">
        <f t="shared" si="128"/>
        <v>193.20000000000002</v>
      </c>
      <c r="AM44" s="584">
        <f t="shared" si="128"/>
        <v>377.235</v>
      </c>
      <c r="AN44" s="566">
        <f t="shared" si="128"/>
        <v>96.025</v>
      </c>
      <c r="AO44" s="566">
        <f t="shared" si="128"/>
        <v>-23.123999999999999</v>
      </c>
      <c r="AP44" s="1007">
        <f t="shared" si="128"/>
        <v>642.34800000000007</v>
      </c>
      <c r="AQ44" s="566">
        <f t="shared" si="128"/>
        <v>505.26700000000005</v>
      </c>
      <c r="AR44" s="584">
        <f t="shared" si="128"/>
        <v>151.31999999999999</v>
      </c>
      <c r="AS44" s="566">
        <f t="shared" si="117"/>
        <v>182.62</v>
      </c>
      <c r="AT44" s="566">
        <f t="shared" si="117"/>
        <v>-40.85</v>
      </c>
      <c r="AU44" s="1007">
        <f t="shared" si="117"/>
        <v>802.43399999999997</v>
      </c>
      <c r="AV44" s="566">
        <f t="shared" si="118"/>
        <v>77.349000000000004</v>
      </c>
      <c r="AW44" s="584">
        <f t="shared" si="118"/>
        <v>236.208</v>
      </c>
      <c r="AX44" s="566">
        <f t="shared" si="119"/>
        <v>213.297</v>
      </c>
      <c r="AY44" s="566">
        <f t="shared" si="119"/>
        <v>124.684</v>
      </c>
      <c r="AZ44" s="1007">
        <f t="shared" si="119"/>
        <v>649.61</v>
      </c>
      <c r="BA44" s="566">
        <f t="shared" si="120"/>
        <v>196.988</v>
      </c>
      <c r="BB44" s="584">
        <f t="shared" si="120"/>
        <v>394.74</v>
      </c>
      <c r="BC44" s="566">
        <f t="shared" si="121"/>
        <v>203.196</v>
      </c>
      <c r="BD44" s="566">
        <f t="shared" si="121"/>
        <v>40.536000000000001</v>
      </c>
      <c r="BE44" s="1007">
        <f t="shared" si="121"/>
        <v>823.19199999999989</v>
      </c>
      <c r="BF44" s="566">
        <f t="shared" si="122"/>
        <v>211.56</v>
      </c>
      <c r="BG44" s="584">
        <f t="shared" si="122"/>
        <v>387.60</v>
      </c>
      <c r="BH44" s="821">
        <f>BH$36*BH94</f>
        <v>339.38799999999998</v>
      </c>
      <c r="BI44" s="566">
        <f t="shared" si="121"/>
        <v>153.45730422</v>
      </c>
      <c r="BJ44" s="1007">
        <f t="shared" si="123"/>
        <v>1092.00530422</v>
      </c>
      <c r="BK44" s="566">
        <f t="shared" si="124"/>
        <v>179.75970558</v>
      </c>
      <c r="BL44" s="566">
        <f t="shared" si="124"/>
        <v>175.50576747000002</v>
      </c>
      <c r="BM44" s="566">
        <f t="shared" si="124"/>
        <v>175.61956599000001</v>
      </c>
      <c r="BN44" s="566">
        <f t="shared" si="124"/>
        <v>158.0610233466</v>
      </c>
      <c r="BO44" s="1007">
        <f t="shared" si="125"/>
        <v>688.94606238660003</v>
      </c>
      <c r="BP44" s="1007">
        <f t="shared" si="126"/>
        <v>671.67078129773972</v>
      </c>
      <c r="BQ44" s="1007">
        <f t="shared" si="126"/>
        <v>681.74584301720563</v>
      </c>
      <c r="BR44" s="1007">
        <f t="shared" si="126"/>
        <v>691.97203066246368</v>
      </c>
      <c r="BS44" s="263"/>
    </row>
    <row r="45" spans="1:71" s="24" customFormat="1" ht="15">
      <c r="A45" s="184" t="s">
        <v>44</v>
      </c>
      <c r="B45" s="445"/>
      <c r="C45" s="993">
        <f t="shared" si="129" ref="C45:AM45">C179</f>
        <v>6037</v>
      </c>
      <c r="D45" s="993">
        <f t="shared" si="129"/>
        <v>6504</v>
      </c>
      <c r="E45" s="993">
        <f t="shared" si="129"/>
        <v>8447</v>
      </c>
      <c r="F45" s="993">
        <f t="shared" si="129"/>
        <v>7857</v>
      </c>
      <c r="G45" s="993">
        <f t="shared" si="129"/>
        <v>8285</v>
      </c>
      <c r="H45" s="265">
        <f t="shared" si="129"/>
        <v>2177</v>
      </c>
      <c r="I45" s="265">
        <f t="shared" si="129"/>
        <v>2455</v>
      </c>
      <c r="J45" s="265">
        <f t="shared" si="129"/>
        <v>2360</v>
      </c>
      <c r="K45" s="265">
        <f t="shared" si="129"/>
        <v>2153</v>
      </c>
      <c r="L45" s="993">
        <f t="shared" si="129"/>
        <v>9145</v>
      </c>
      <c r="M45" s="265">
        <f t="shared" si="129"/>
        <v>2265</v>
      </c>
      <c r="N45" s="265">
        <f t="shared" si="129"/>
        <v>2238</v>
      </c>
      <c r="O45" s="265">
        <f t="shared" si="129"/>
        <v>2229</v>
      </c>
      <c r="P45" s="265">
        <f t="shared" si="129"/>
        <v>2127</v>
      </c>
      <c r="Q45" s="993">
        <f t="shared" si="129"/>
        <v>8859</v>
      </c>
      <c r="R45" s="265">
        <f t="shared" si="129"/>
        <v>2213</v>
      </c>
      <c r="S45" s="265">
        <f t="shared" si="129"/>
        <v>2244</v>
      </c>
      <c r="T45" s="265">
        <f t="shared" si="129"/>
        <v>2274</v>
      </c>
      <c r="U45" s="265">
        <f t="shared" si="129"/>
        <v>2022</v>
      </c>
      <c r="V45" s="993">
        <f t="shared" si="129"/>
        <v>8753</v>
      </c>
      <c r="W45" s="265">
        <f t="shared" si="129"/>
        <v>2265</v>
      </c>
      <c r="X45" s="265">
        <f t="shared" si="129"/>
        <v>2306</v>
      </c>
      <c r="Y45" s="265">
        <f t="shared" si="129"/>
        <v>2847</v>
      </c>
      <c r="Z45" s="265">
        <f t="shared" si="129"/>
        <v>2103</v>
      </c>
      <c r="AA45" s="993">
        <f t="shared" si="129"/>
        <v>9521</v>
      </c>
      <c r="AB45" s="265">
        <f t="shared" si="129"/>
        <v>2392</v>
      </c>
      <c r="AC45" s="265">
        <f t="shared" si="129"/>
        <v>2484</v>
      </c>
      <c r="AD45" s="265">
        <f t="shared" si="129"/>
        <v>2653</v>
      </c>
      <c r="AE45" s="265">
        <f t="shared" si="129"/>
        <v>2642</v>
      </c>
      <c r="AF45" s="993">
        <f t="shared" si="129"/>
        <v>10171</v>
      </c>
      <c r="AG45" s="265">
        <f t="shared" si="129"/>
        <v>2580</v>
      </c>
      <c r="AH45" s="265">
        <f t="shared" si="129"/>
        <v>2686</v>
      </c>
      <c r="AI45" s="265">
        <f t="shared" si="129"/>
        <v>3028</v>
      </c>
      <c r="AJ45" s="265">
        <f t="shared" si="129"/>
        <v>2669</v>
      </c>
      <c r="AK45" s="993">
        <f t="shared" si="129"/>
        <v>10963</v>
      </c>
      <c r="AL45" s="265">
        <f t="shared" si="129"/>
        <v>2791</v>
      </c>
      <c r="AM45" s="265">
        <f t="shared" si="129"/>
        <v>2880</v>
      </c>
      <c r="AN45" s="265">
        <f>AN179</f>
        <v>2804</v>
      </c>
      <c r="AO45" s="265">
        <f t="shared" si="130" ref="AO45:AQ45">AO179</f>
        <v>2329</v>
      </c>
      <c r="AP45" s="993">
        <f t="shared" si="130"/>
        <v>10804</v>
      </c>
      <c r="AQ45" s="265">
        <f t="shared" si="130"/>
        <v>2788</v>
      </c>
      <c r="AR45" s="265">
        <f t="shared" si="131" ref="AR45:AW45">AR179</f>
        <v>2539</v>
      </c>
      <c r="AS45" s="265">
        <f t="shared" si="131"/>
        <v>2703</v>
      </c>
      <c r="AT45" s="265">
        <f t="shared" si="131"/>
        <v>2368</v>
      </c>
      <c r="AU45" s="993">
        <f t="shared" si="131"/>
        <v>10398</v>
      </c>
      <c r="AV45" s="265">
        <f t="shared" si="131"/>
        <v>2514</v>
      </c>
      <c r="AW45" s="265">
        <f t="shared" si="131"/>
        <v>2698</v>
      </c>
      <c r="AX45" s="265">
        <f t="shared" si="132" ref="AX45:BC45">AX179</f>
        <v>2959</v>
      </c>
      <c r="AY45" s="265">
        <f t="shared" si="132"/>
        <v>2736</v>
      </c>
      <c r="AZ45" s="993">
        <f t="shared" si="132"/>
        <v>10907</v>
      </c>
      <c r="BA45" s="265">
        <f t="shared" si="132"/>
        <v>2907</v>
      </c>
      <c r="BB45" s="265">
        <f t="shared" si="132"/>
        <v>3296</v>
      </c>
      <c r="BC45" s="265">
        <f t="shared" si="132"/>
        <v>3519</v>
      </c>
      <c r="BD45" s="265">
        <f>BD179</f>
        <v>2974</v>
      </c>
      <c r="BE45" s="993">
        <f>BE179</f>
        <v>12696</v>
      </c>
      <c r="BF45" s="265">
        <f>BF179</f>
        <v>3331</v>
      </c>
      <c r="BG45" s="265">
        <f>BG179</f>
        <v>3471</v>
      </c>
      <c r="BH45" s="745">
        <f>BH179</f>
        <v>3698</v>
      </c>
      <c r="BI45" s="210">
        <f>SUM(BI42:BI44)</f>
        <v>3376.0606928399998</v>
      </c>
      <c r="BJ45" s="994">
        <f t="shared" si="123"/>
        <v>13876.060692839999</v>
      </c>
      <c r="BK45" s="210">
        <f>SUM(BK42:BK44)</f>
        <v>3954.7135227600002</v>
      </c>
      <c r="BL45" s="210">
        <f>SUM(BL42:BL44)</f>
        <v>3861.1268843400007</v>
      </c>
      <c r="BM45" s="210">
        <f>SUM(BM42:BM44)</f>
        <v>3805.0905964500007</v>
      </c>
      <c r="BN45" s="210">
        <f>SUM(BN42:BN44)</f>
        <v>3477.3425136251999</v>
      </c>
      <c r="BO45" s="994">
        <f t="shared" si="125"/>
        <v>15098.273517175203</v>
      </c>
      <c r="BP45" s="994">
        <f>SUM(BP42:BP44)</f>
        <v>14776.757188550275</v>
      </c>
      <c r="BQ45" s="994">
        <f>SUM(BQ42:BQ44)</f>
        <v>14771.15993203946</v>
      </c>
      <c r="BR45" s="994">
        <f>SUM(BR42:BR44)</f>
        <v>15223.384674574205</v>
      </c>
      <c r="BS45" s="833"/>
    </row>
    <row r="46" spans="1:71" s="24" customFormat="1" ht="15">
      <c r="A46" s="585" t="s">
        <v>568</v>
      </c>
      <c r="B46" s="445"/>
      <c r="C46" s="993">
        <f t="shared" si="133" ref="C46:AR46">C$37*C96</f>
        <v>1913.65</v>
      </c>
      <c r="D46" s="993">
        <f t="shared" si="133"/>
        <v>1879.1179999999997</v>
      </c>
      <c r="E46" s="993">
        <f t="shared" si="133"/>
        <v>1791.704</v>
      </c>
      <c r="F46" s="993">
        <f t="shared" si="133"/>
        <v>1560.645</v>
      </c>
      <c r="G46" s="993">
        <f t="shared" si="133"/>
        <v>918.85299999999995</v>
      </c>
      <c r="H46" s="265">
        <f t="shared" si="133"/>
        <v>224.39</v>
      </c>
      <c r="I46" s="265">
        <f t="shared" si="133"/>
        <v>229.47199999999998</v>
      </c>
      <c r="J46" s="265">
        <f t="shared" si="133"/>
        <v>229.99600000000004</v>
      </c>
      <c r="K46" s="265">
        <f t="shared" si="133"/>
        <v>239.56799999999998</v>
      </c>
      <c r="L46" s="993">
        <f t="shared" si="133"/>
        <v>925.26400000000001</v>
      </c>
      <c r="M46" s="265">
        <f t="shared" si="133"/>
        <v>226.27199999999999</v>
      </c>
      <c r="N46" s="265">
        <f t="shared" si="133"/>
        <v>230.77600000000001</v>
      </c>
      <c r="O46" s="265">
        <f t="shared" si="133"/>
        <v>215.41</v>
      </c>
      <c r="P46" s="265">
        <f t="shared" si="133"/>
        <v>226.80800000000002</v>
      </c>
      <c r="Q46" s="993">
        <f t="shared" si="133"/>
        <v>897.37</v>
      </c>
      <c r="R46" s="265">
        <f t="shared" si="133"/>
        <v>244.68799999999999</v>
      </c>
      <c r="S46" s="265">
        <f t="shared" si="133"/>
        <v>248.96100000000001</v>
      </c>
      <c r="T46" s="265">
        <f t="shared" si="133"/>
        <v>231.26700000000002</v>
      </c>
      <c r="U46" s="265">
        <f t="shared" si="133"/>
        <v>252.76</v>
      </c>
      <c r="V46" s="993">
        <f t="shared" si="133"/>
        <v>976.52</v>
      </c>
      <c r="W46" s="265">
        <f t="shared" si="133"/>
        <v>240.875</v>
      </c>
      <c r="X46" s="265">
        <f t="shared" si="133"/>
        <v>250.475</v>
      </c>
      <c r="Y46" s="265">
        <f t="shared" si="133"/>
        <v>236</v>
      </c>
      <c r="Z46" s="265">
        <f t="shared" si="133"/>
        <v>305.36399999999998</v>
      </c>
      <c r="AA46" s="993">
        <f t="shared" si="133"/>
        <v>1032.806</v>
      </c>
      <c r="AB46" s="265">
        <f t="shared" si="133"/>
        <v>250.92000000000002</v>
      </c>
      <c r="AC46" s="265">
        <f t="shared" si="133"/>
        <v>259.14</v>
      </c>
      <c r="AD46" s="265">
        <f t="shared" si="133"/>
        <v>254.97699999999998</v>
      </c>
      <c r="AE46" s="265">
        <f t="shared" si="133"/>
        <v>258.45999999999998</v>
      </c>
      <c r="AF46" s="993">
        <f t="shared" si="133"/>
        <v>1023.6800000000001</v>
      </c>
      <c r="AG46" s="265">
        <f t="shared" si="133"/>
        <v>266</v>
      </c>
      <c r="AH46" s="265">
        <f t="shared" si="133"/>
        <v>276.55200000000002</v>
      </c>
      <c r="AI46" s="265">
        <f t="shared" si="133"/>
        <v>304.959</v>
      </c>
      <c r="AJ46" s="265">
        <f t="shared" si="133"/>
        <v>305.19800000000004</v>
      </c>
      <c r="AK46" s="993">
        <f t="shared" si="133"/>
        <v>1152.9950000000001</v>
      </c>
      <c r="AL46" s="265">
        <f t="shared" si="133"/>
        <v>325.666</v>
      </c>
      <c r="AM46" s="265">
        <f t="shared" si="133"/>
        <v>363.49899999999997</v>
      </c>
      <c r="AN46" s="265">
        <f t="shared" si="133"/>
        <v>389.83099999999996</v>
      </c>
      <c r="AO46" s="265">
        <f t="shared" si="133"/>
        <v>372.34</v>
      </c>
      <c r="AP46" s="993">
        <f t="shared" si="133"/>
        <v>1452.7080000000001</v>
      </c>
      <c r="AQ46" s="265">
        <f t="shared" si="133"/>
        <v>366.57</v>
      </c>
      <c r="AR46" s="265">
        <f t="shared" si="133"/>
        <v>376.12799999999999</v>
      </c>
      <c r="AS46" s="265">
        <f t="shared" si="134" ref="AS46:AU48">AS$37*AS96</f>
        <v>393.53800000000001</v>
      </c>
      <c r="AT46" s="265">
        <f t="shared" si="134"/>
        <v>403.63399999999996</v>
      </c>
      <c r="AU46" s="993">
        <f t="shared" si="134"/>
        <v>1535.7599999999998</v>
      </c>
      <c r="AV46" s="265">
        <f t="shared" si="135" ref="AV46:AW48">AV$37*AV96</f>
        <v>388.44</v>
      </c>
      <c r="AW46" s="265">
        <f t="shared" si="135"/>
        <v>400.78200000000004</v>
      </c>
      <c r="AX46" s="265">
        <f t="shared" si="136" ref="AX46:AZ48">AX$37*AX96</f>
        <v>385.74299999999999</v>
      </c>
      <c r="AY46" s="265">
        <f t="shared" si="136"/>
        <v>400.76</v>
      </c>
      <c r="AZ46" s="993">
        <f t="shared" si="136"/>
        <v>1576.2439999999999</v>
      </c>
      <c r="BA46" s="265">
        <f t="shared" si="137" ref="BA46:BB48">BA$37*BA96</f>
        <v>433.37500000000006</v>
      </c>
      <c r="BB46" s="265">
        <f t="shared" si="137"/>
        <v>463.47699999999998</v>
      </c>
      <c r="BC46" s="265">
        <f t="shared" si="138" ref="BC46:BI48">BC$37*BC96</f>
        <v>417.38500000000005</v>
      </c>
      <c r="BD46" s="265">
        <f t="shared" si="138"/>
        <v>418.822</v>
      </c>
      <c r="BE46" s="993">
        <f t="shared" si="138"/>
        <v>1733.54</v>
      </c>
      <c r="BF46" s="265">
        <f t="shared" si="139" ref="BF46:BG48">BF$37*BF96</f>
        <v>447.12</v>
      </c>
      <c r="BG46" s="265">
        <f t="shared" si="139"/>
        <v>457.36800000000005</v>
      </c>
      <c r="BH46" s="745">
        <f>BH$37*BH96</f>
        <v>472.279</v>
      </c>
      <c r="BI46" s="210">
        <f t="shared" si="138"/>
        <v>479.79151000000002</v>
      </c>
      <c r="BJ46" s="994">
        <f t="shared" si="123"/>
        <v>1856.5585100000001</v>
      </c>
      <c r="BK46" s="210">
        <f t="shared" si="140" ref="BK46:BN48">BK$37*BK96</f>
        <v>487.03364599999998</v>
      </c>
      <c r="BL46" s="210">
        <f t="shared" si="140"/>
        <v>510.1179545</v>
      </c>
      <c r="BM46" s="210">
        <f t="shared" si="140"/>
        <v>527.31802749999997</v>
      </c>
      <c r="BN46" s="210">
        <f t="shared" si="140"/>
        <v>494.18525530000005</v>
      </c>
      <c r="BO46" s="994">
        <f t="shared" si="125"/>
        <v>2018.6548832999999</v>
      </c>
      <c r="BP46" s="994">
        <f t="shared" si="141" ref="BP46:BR48">BP$37*BP96</f>
        <v>2099.4010786320009</v>
      </c>
      <c r="BQ46" s="994">
        <f t="shared" si="141"/>
        <v>2139.7095793417348</v>
      </c>
      <c r="BR46" s="994">
        <f t="shared" si="141"/>
        <v>2270.7122066483721</v>
      </c>
      <c r="BS46" s="833"/>
    </row>
    <row r="47" spans="1:71" s="24" customFormat="1" ht="15">
      <c r="A47" s="585" t="s">
        <v>552</v>
      </c>
      <c r="B47" s="445"/>
      <c r="C47" s="993">
        <f t="shared" si="142" ref="C47:AR47">C$37*C97</f>
        <v>-169.98299999999998</v>
      </c>
      <c r="D47" s="993">
        <f t="shared" si="142"/>
        <v>-258.726</v>
      </c>
      <c r="E47" s="993">
        <f t="shared" si="142"/>
        <v>-358.66200000000003</v>
      </c>
      <c r="F47" s="993">
        <f t="shared" si="142"/>
        <v>-298.41000000000003</v>
      </c>
      <c r="G47" s="993">
        <f t="shared" si="142"/>
        <v>-231.77700000000002</v>
      </c>
      <c r="H47" s="265">
        <f t="shared" si="142"/>
        <v>-66.396000000000001</v>
      </c>
      <c r="I47" s="265">
        <f t="shared" si="142"/>
        <v>-124.18799999999999</v>
      </c>
      <c r="J47" s="265">
        <f t="shared" si="142"/>
        <v>-79.05</v>
      </c>
      <c r="K47" s="265">
        <f t="shared" si="142"/>
        <v>-179.56799999999998</v>
      </c>
      <c r="L47" s="993">
        <f t="shared" si="142"/>
        <v>-450.49200000000002</v>
      </c>
      <c r="M47" s="265">
        <f t="shared" si="142"/>
        <v>-34.776000000000003</v>
      </c>
      <c r="N47" s="265">
        <f t="shared" si="142"/>
        <v>-40.347999999999999</v>
      </c>
      <c r="O47" s="265">
        <f t="shared" si="142"/>
        <v>-102.949</v>
      </c>
      <c r="P47" s="265">
        <f t="shared" si="142"/>
        <v>-80.808000000000007</v>
      </c>
      <c r="Q47" s="993">
        <f t="shared" si="142"/>
        <v>-258.54000000000002</v>
      </c>
      <c r="R47" s="265">
        <f t="shared" si="142"/>
        <v>-66.239999999999995</v>
      </c>
      <c r="S47" s="265">
        <f t="shared" si="142"/>
        <v>-158.75599999999997</v>
      </c>
      <c r="T47" s="265">
        <f t="shared" si="142"/>
        <v>-46.413000000000004</v>
      </c>
      <c r="U47" s="265">
        <f t="shared" si="142"/>
        <v>-78.912000000000006</v>
      </c>
      <c r="V47" s="993">
        <f t="shared" si="142"/>
        <v>-350.30</v>
      </c>
      <c r="W47" s="265">
        <f t="shared" si="142"/>
        <v>-14.43</v>
      </c>
      <c r="X47" s="265">
        <f t="shared" si="142"/>
        <v>-77.625</v>
      </c>
      <c r="Y47" s="265">
        <f t="shared" si="142"/>
        <v>-5.319</v>
      </c>
      <c r="Z47" s="265">
        <f t="shared" si="142"/>
        <v>-42.192</v>
      </c>
      <c r="AA47" s="993">
        <f t="shared" si="142"/>
        <v>-140.727</v>
      </c>
      <c r="AB47" s="265">
        <f t="shared" si="142"/>
        <v>-34.92</v>
      </c>
      <c r="AC47" s="265">
        <f t="shared" si="142"/>
        <v>-88.947999999999993</v>
      </c>
      <c r="AD47" s="265">
        <f t="shared" si="142"/>
        <v>-53.678999999999995</v>
      </c>
      <c r="AE47" s="265">
        <f t="shared" si="142"/>
        <v>-89.279999999999987</v>
      </c>
      <c r="AF47" s="993">
        <f t="shared" si="142"/>
        <v>-266.20</v>
      </c>
      <c r="AG47" s="265">
        <f t="shared" si="142"/>
        <v>-3.03</v>
      </c>
      <c r="AH47" s="265">
        <f t="shared" si="142"/>
        <v>-39.183999999999997</v>
      </c>
      <c r="AI47" s="265">
        <f t="shared" si="142"/>
        <v>-3.265</v>
      </c>
      <c r="AJ47" s="265">
        <f t="shared" si="142"/>
        <v>-19.545999999999999</v>
      </c>
      <c r="AK47" s="993">
        <f t="shared" si="142"/>
        <v>-64.125</v>
      </c>
      <c r="AL47" s="265">
        <f t="shared" si="142"/>
        <v>0</v>
      </c>
      <c r="AM47" s="265">
        <f t="shared" si="142"/>
        <v>32.570999999999998</v>
      </c>
      <c r="AN47" s="265">
        <f t="shared" si="142"/>
        <v>0</v>
      </c>
      <c r="AO47" s="265">
        <f t="shared" si="142"/>
        <v>-31.08</v>
      </c>
      <c r="AP47" s="993">
        <f t="shared" si="142"/>
        <v>0</v>
      </c>
      <c r="AQ47" s="265">
        <f t="shared" si="142"/>
        <v>-15.603000000000002</v>
      </c>
      <c r="AR47" s="265">
        <f t="shared" si="142"/>
        <v>-44.231999999999999</v>
      </c>
      <c r="AS47" s="265">
        <f t="shared" si="134"/>
        <v>-20.956</v>
      </c>
      <c r="AT47" s="265">
        <f t="shared" si="134"/>
        <v>-24.39</v>
      </c>
      <c r="AU47" s="993">
        <f t="shared" si="134"/>
        <v>-103.554</v>
      </c>
      <c r="AV47" s="265">
        <f t="shared" si="135"/>
        <v>-35.26</v>
      </c>
      <c r="AW47" s="265">
        <f t="shared" si="135"/>
        <v>-73.185999999999993</v>
      </c>
      <c r="AX47" s="265">
        <f t="shared" si="136"/>
        <v>-63.143999999999998</v>
      </c>
      <c r="AY47" s="265">
        <f t="shared" si="136"/>
        <v>-50.46</v>
      </c>
      <c r="AZ47" s="993">
        <f t="shared" si="136"/>
        <v>-222.17000000000002</v>
      </c>
      <c r="BA47" s="265">
        <f t="shared" si="137"/>
        <v>-58.625</v>
      </c>
      <c r="BB47" s="265">
        <f t="shared" si="137"/>
        <v>-118.43000000000001</v>
      </c>
      <c r="BC47" s="265">
        <f t="shared" si="138"/>
        <v>-71.995000000000005</v>
      </c>
      <c r="BD47" s="265">
        <f t="shared" si="138"/>
        <v>-36.426000000000002</v>
      </c>
      <c r="BE47" s="993">
        <f t="shared" si="138"/>
        <v>-285.08999999999997</v>
      </c>
      <c r="BF47" s="265">
        <f t="shared" si="139"/>
        <v>-23.90</v>
      </c>
      <c r="BG47" s="265">
        <f t="shared" si="139"/>
        <v>-24.425</v>
      </c>
      <c r="BH47" s="745">
        <f>BH$37*BH97</f>
        <v>-35.315000000000005</v>
      </c>
      <c r="BI47" s="210">
        <f t="shared" si="138"/>
        <v>0</v>
      </c>
      <c r="BJ47" s="994">
        <f t="shared" si="123"/>
        <v>-83.640000000000015</v>
      </c>
      <c r="BK47" s="210">
        <f t="shared" si="140"/>
        <v>0</v>
      </c>
      <c r="BL47" s="210">
        <f t="shared" si="140"/>
        <v>0</v>
      </c>
      <c r="BM47" s="210">
        <f t="shared" si="140"/>
        <v>0</v>
      </c>
      <c r="BN47" s="210">
        <f t="shared" si="140"/>
        <v>0</v>
      </c>
      <c r="BO47" s="994">
        <f t="shared" si="125"/>
        <v>0</v>
      </c>
      <c r="BP47" s="994">
        <f t="shared" si="141"/>
        <v>0</v>
      </c>
      <c r="BQ47" s="994">
        <f t="shared" si="141"/>
        <v>0</v>
      </c>
      <c r="BR47" s="994">
        <f t="shared" si="141"/>
        <v>0</v>
      </c>
      <c r="BS47" s="833"/>
    </row>
    <row r="48" spans="1:71" s="24" customFormat="1" ht="15">
      <c r="A48" s="586" t="s">
        <v>553</v>
      </c>
      <c r="B48" s="446"/>
      <c r="C48" s="995">
        <f t="shared" si="143" ref="C48:AR48">C$37*C98</f>
        <v>3.3330000000000002</v>
      </c>
      <c r="D48" s="995">
        <f t="shared" si="143"/>
        <v>79.608000000000004</v>
      </c>
      <c r="E48" s="995">
        <f t="shared" si="143"/>
        <v>53.958000000000006</v>
      </c>
      <c r="F48" s="995">
        <f t="shared" si="143"/>
        <v>51.765</v>
      </c>
      <c r="G48" s="995">
        <f t="shared" si="143"/>
        <v>7.9240000000000004</v>
      </c>
      <c r="H48" s="186">
        <f t="shared" si="143"/>
        <v>1.006</v>
      </c>
      <c r="I48" s="186">
        <f t="shared" si="143"/>
        <v>4.7159999999999993</v>
      </c>
      <c r="J48" s="186">
        <f t="shared" si="143"/>
        <v>1.054</v>
      </c>
      <c r="K48" s="186">
        <f t="shared" si="143"/>
        <v>0</v>
      </c>
      <c r="L48" s="995">
        <f t="shared" si="143"/>
        <v>6.2279999999999998</v>
      </c>
      <c r="M48" s="186">
        <f t="shared" si="143"/>
        <v>0.504</v>
      </c>
      <c r="N48" s="186">
        <f t="shared" si="143"/>
        <v>1.5720000000000001</v>
      </c>
      <c r="O48" s="186">
        <f t="shared" si="143"/>
        <v>0.53900000000000003</v>
      </c>
      <c r="P48" s="186">
        <f t="shared" si="143"/>
        <v>0</v>
      </c>
      <c r="Q48" s="995">
        <f t="shared" si="143"/>
        <v>4.17</v>
      </c>
      <c r="R48" s="186">
        <f t="shared" si="143"/>
        <v>0.55200000000000005</v>
      </c>
      <c r="S48" s="186">
        <f t="shared" si="143"/>
        <v>2.795</v>
      </c>
      <c r="T48" s="186">
        <f t="shared" si="143"/>
        <v>1.1460000000000001</v>
      </c>
      <c r="U48" s="186">
        <f t="shared" si="143"/>
        <v>1.1520000000000001</v>
      </c>
      <c r="V48" s="995">
        <f t="shared" si="143"/>
        <v>6.78</v>
      </c>
      <c r="W48" s="186">
        <f t="shared" si="143"/>
        <v>0.55500000000000005</v>
      </c>
      <c r="X48" s="186">
        <f t="shared" si="143"/>
        <v>1.1500000000000001</v>
      </c>
      <c r="Y48" s="186">
        <f t="shared" si="143"/>
        <v>5.319</v>
      </c>
      <c r="Z48" s="186">
        <f t="shared" si="143"/>
        <v>-1.1719999999999999</v>
      </c>
      <c r="AA48" s="995">
        <f t="shared" si="143"/>
        <v>6.9210000000000003</v>
      </c>
      <c r="AB48" s="186">
        <f t="shared" si="143"/>
        <v>0</v>
      </c>
      <c r="AC48" s="186">
        <f t="shared" si="143"/>
        <v>4.8079999999999998</v>
      </c>
      <c r="AD48" s="186">
        <f t="shared" si="143"/>
        <v>3.702</v>
      </c>
      <c r="AE48" s="186">
        <f t="shared" si="143"/>
        <v>6.8199999999999994</v>
      </c>
      <c r="AF48" s="995">
        <f t="shared" si="143"/>
        <v>14.52</v>
      </c>
      <c r="AG48" s="186">
        <f t="shared" si="143"/>
        <v>3.03</v>
      </c>
      <c r="AH48" s="186">
        <f t="shared" si="143"/>
        <v>0.63200000000000001</v>
      </c>
      <c r="AI48" s="186">
        <f t="shared" si="143"/>
        <v>1.306</v>
      </c>
      <c r="AJ48" s="186">
        <f t="shared" si="143"/>
        <v>1.3480000000000001</v>
      </c>
      <c r="AK48" s="995">
        <f t="shared" si="143"/>
        <v>5.13</v>
      </c>
      <c r="AL48" s="186">
        <f t="shared" si="143"/>
        <v>1.3340000000000001</v>
      </c>
      <c r="AM48" s="186">
        <f t="shared" si="143"/>
        <v>6.93</v>
      </c>
      <c r="AN48" s="186">
        <f t="shared" si="143"/>
        <v>2.169</v>
      </c>
      <c r="AO48" s="186">
        <f t="shared" si="143"/>
        <v>0.74</v>
      </c>
      <c r="AP48" s="995">
        <f t="shared" si="143"/>
        <v>11.292</v>
      </c>
      <c r="AQ48" s="186">
        <f t="shared" si="143"/>
        <v>23.033000000000001</v>
      </c>
      <c r="AR48" s="186">
        <f t="shared" si="143"/>
        <v>3.1040000000000001</v>
      </c>
      <c r="AS48" s="186">
        <f t="shared" si="134"/>
        <v>2.4180000000000001</v>
      </c>
      <c r="AT48" s="186">
        <f t="shared" si="134"/>
        <v>9.7560000000000002</v>
      </c>
      <c r="AU48" s="995">
        <f t="shared" si="134"/>
        <v>40.793999999999997</v>
      </c>
      <c r="AV48" s="186">
        <f t="shared" si="135"/>
        <v>0.82</v>
      </c>
      <c r="AW48" s="186">
        <f t="shared" si="135"/>
        <v>3.4039999999999999</v>
      </c>
      <c r="AX48" s="186">
        <f t="shared" si="136"/>
        <v>11.401</v>
      </c>
      <c r="AY48" s="186">
        <f t="shared" si="136"/>
        <v>8.7000000000000011</v>
      </c>
      <c r="AZ48" s="995">
        <f t="shared" si="136"/>
        <v>23.926000000000002</v>
      </c>
      <c r="BA48" s="186">
        <f t="shared" si="137"/>
        <v>5.25</v>
      </c>
      <c r="BB48" s="186">
        <f t="shared" si="137"/>
        <v>20.952999999999999</v>
      </c>
      <c r="BC48" s="186">
        <f t="shared" si="138"/>
        <v>5.61</v>
      </c>
      <c r="BD48" s="186">
        <f t="shared" si="138"/>
        <v>5.6040000000000001</v>
      </c>
      <c r="BE48" s="995">
        <f t="shared" si="138"/>
        <v>36.550000000000004</v>
      </c>
      <c r="BF48" s="186">
        <f t="shared" si="139"/>
        <v>4.78</v>
      </c>
      <c r="BG48" s="186">
        <f t="shared" si="139"/>
        <v>40.057000000000002</v>
      </c>
      <c r="BH48" s="746">
        <f>BH$37*BH98</f>
        <v>4.0360000000000005</v>
      </c>
      <c r="BI48" s="205">
        <f t="shared" si="138"/>
        <v>2.8787490600000001</v>
      </c>
      <c r="BJ48" s="996">
        <f t="shared" si="123"/>
        <v>51.751749060000002</v>
      </c>
      <c r="BK48" s="205">
        <f t="shared" si="140"/>
        <v>2.9222018759999999</v>
      </c>
      <c r="BL48" s="205">
        <f t="shared" si="140"/>
        <v>3.060707727</v>
      </c>
      <c r="BM48" s="205">
        <f t="shared" si="140"/>
        <v>3.1639081650000001</v>
      </c>
      <c r="BN48" s="205">
        <f t="shared" si="140"/>
        <v>2.9651115318000003</v>
      </c>
      <c r="BO48" s="996">
        <f t="shared" si="125"/>
        <v>12.1119292998</v>
      </c>
      <c r="BP48" s="996">
        <f t="shared" si="141"/>
        <v>12.596406471792008</v>
      </c>
      <c r="BQ48" s="996">
        <f t="shared" si="141"/>
        <v>13.100262730663685</v>
      </c>
      <c r="BR48" s="996">
        <f t="shared" si="141"/>
        <v>13.624273239890234</v>
      </c>
      <c r="BS48" s="833"/>
    </row>
    <row r="49" spans="1:71" s="24" customFormat="1" ht="15">
      <c r="A49" s="184" t="s">
        <v>45</v>
      </c>
      <c r="B49" s="445"/>
      <c r="C49" s="993">
        <f t="shared" si="144" ref="C49:AM49">C237</f>
        <v>1747</v>
      </c>
      <c r="D49" s="993">
        <f t="shared" si="144"/>
        <v>1700</v>
      </c>
      <c r="E49" s="993">
        <f t="shared" si="144"/>
        <v>1487</v>
      </c>
      <c r="F49" s="993">
        <f t="shared" si="144"/>
        <v>1314</v>
      </c>
      <c r="G49" s="993">
        <f t="shared" si="144"/>
        <v>695</v>
      </c>
      <c r="H49" s="265">
        <f t="shared" si="144"/>
        <v>159</v>
      </c>
      <c r="I49" s="265">
        <f t="shared" si="144"/>
        <v>110</v>
      </c>
      <c r="J49" s="265">
        <f t="shared" si="144"/>
        <v>152</v>
      </c>
      <c r="K49" s="265">
        <f t="shared" si="144"/>
        <v>60</v>
      </c>
      <c r="L49" s="993">
        <f t="shared" si="144"/>
        <v>481</v>
      </c>
      <c r="M49" s="265">
        <f t="shared" si="144"/>
        <v>192</v>
      </c>
      <c r="N49" s="265">
        <f t="shared" si="144"/>
        <v>192</v>
      </c>
      <c r="O49" s="265">
        <f t="shared" si="144"/>
        <v>113</v>
      </c>
      <c r="P49" s="265">
        <f t="shared" si="144"/>
        <v>146</v>
      </c>
      <c r="Q49" s="993">
        <f t="shared" si="144"/>
        <v>643</v>
      </c>
      <c r="R49" s="265">
        <f t="shared" si="144"/>
        <v>179</v>
      </c>
      <c r="S49" s="265">
        <f t="shared" si="144"/>
        <v>93</v>
      </c>
      <c r="T49" s="265">
        <f t="shared" si="144"/>
        <v>186</v>
      </c>
      <c r="U49" s="265">
        <f t="shared" si="144"/>
        <v>175</v>
      </c>
      <c r="V49" s="993">
        <f t="shared" si="144"/>
        <v>633</v>
      </c>
      <c r="W49" s="265">
        <f t="shared" si="144"/>
        <v>227</v>
      </c>
      <c r="X49" s="265">
        <f t="shared" si="144"/>
        <v>174</v>
      </c>
      <c r="Y49" s="265">
        <f t="shared" si="144"/>
        <v>236</v>
      </c>
      <c r="Z49" s="265">
        <f t="shared" si="144"/>
        <v>262</v>
      </c>
      <c r="AA49" s="993">
        <f t="shared" si="144"/>
        <v>899</v>
      </c>
      <c r="AB49" s="265">
        <f t="shared" si="144"/>
        <v>216</v>
      </c>
      <c r="AC49" s="265">
        <f t="shared" si="144"/>
        <v>175</v>
      </c>
      <c r="AD49" s="265">
        <f t="shared" si="144"/>
        <v>205</v>
      </c>
      <c r="AE49" s="265">
        <f t="shared" si="144"/>
        <v>176</v>
      </c>
      <c r="AF49" s="993">
        <f t="shared" si="144"/>
        <v>772</v>
      </c>
      <c r="AG49" s="265">
        <f t="shared" si="144"/>
        <v>266</v>
      </c>
      <c r="AH49" s="265">
        <f t="shared" si="144"/>
        <v>238</v>
      </c>
      <c r="AI49" s="265">
        <f t="shared" si="144"/>
        <v>303</v>
      </c>
      <c r="AJ49" s="265">
        <f t="shared" si="144"/>
        <v>287</v>
      </c>
      <c r="AK49" s="993">
        <f t="shared" si="144"/>
        <v>1094</v>
      </c>
      <c r="AL49" s="265">
        <f t="shared" si="144"/>
        <v>327</v>
      </c>
      <c r="AM49" s="265">
        <f t="shared" si="144"/>
        <v>403</v>
      </c>
      <c r="AN49" s="265">
        <f>AN237</f>
        <v>392</v>
      </c>
      <c r="AO49" s="265">
        <f t="shared" si="145" ref="AO49:AQ49">AO237</f>
        <v>342</v>
      </c>
      <c r="AP49" s="993">
        <f t="shared" si="145"/>
        <v>1464</v>
      </c>
      <c r="AQ49" s="265">
        <f t="shared" si="145"/>
        <v>374</v>
      </c>
      <c r="AR49" s="265">
        <f t="shared" si="146" ref="AR49:AW49">AR237</f>
        <v>335</v>
      </c>
      <c r="AS49" s="265">
        <f t="shared" si="146"/>
        <v>375</v>
      </c>
      <c r="AT49" s="265">
        <f t="shared" si="146"/>
        <v>389</v>
      </c>
      <c r="AU49" s="993">
        <f t="shared" si="146"/>
        <v>1473</v>
      </c>
      <c r="AV49" s="265">
        <f t="shared" si="146"/>
        <v>354</v>
      </c>
      <c r="AW49" s="265">
        <f t="shared" si="146"/>
        <v>331</v>
      </c>
      <c r="AX49" s="265">
        <f t="shared" si="147" ref="AX49:BC49">AX237</f>
        <v>334</v>
      </c>
      <c r="AY49" s="265">
        <f t="shared" si="147"/>
        <v>359</v>
      </c>
      <c r="AZ49" s="993">
        <f t="shared" si="147"/>
        <v>1378</v>
      </c>
      <c r="BA49" s="265">
        <f t="shared" si="147"/>
        <v>380</v>
      </c>
      <c r="BB49" s="265">
        <f t="shared" si="147"/>
        <v>366</v>
      </c>
      <c r="BC49" s="265">
        <f t="shared" si="147"/>
        <v>351</v>
      </c>
      <c r="BD49" s="265">
        <f>BD237</f>
        <v>388</v>
      </c>
      <c r="BE49" s="993">
        <f>BE237</f>
        <v>1485</v>
      </c>
      <c r="BF49" s="265">
        <f>BF237</f>
        <v>428</v>
      </c>
      <c r="BG49" s="265">
        <f>BG237</f>
        <v>473</v>
      </c>
      <c r="BH49" s="745">
        <f>BH237</f>
        <v>441</v>
      </c>
      <c r="BI49" s="210">
        <f>SUM(BI46:BI48)</f>
        <v>482.67025906000003</v>
      </c>
      <c r="BJ49" s="994">
        <f t="shared" si="123"/>
        <v>1824.67025906</v>
      </c>
      <c r="BK49" s="210">
        <f>SUM(BK46:BK48)</f>
        <v>489.95584787599995</v>
      </c>
      <c r="BL49" s="210">
        <f>SUM(BL46:BL48)</f>
        <v>513.17866222700002</v>
      </c>
      <c r="BM49" s="210">
        <f>SUM(BM46:BM48)</f>
        <v>530.48193566499992</v>
      </c>
      <c r="BN49" s="210">
        <f>SUM(BN46:BN48)</f>
        <v>497.15036683180006</v>
      </c>
      <c r="BO49" s="994">
        <f t="shared" si="125"/>
        <v>2030.7668125997998</v>
      </c>
      <c r="BP49" s="994">
        <f>SUM(BP46:BP48)</f>
        <v>2111.9974851037928</v>
      </c>
      <c r="BQ49" s="994">
        <f>SUM(BQ46:BQ48)</f>
        <v>2152.8098420723986</v>
      </c>
      <c r="BR49" s="994">
        <f>SUM(BR46:BR48)</f>
        <v>2284.3364798882621</v>
      </c>
      <c r="BS49" s="833"/>
    </row>
    <row r="50" spans="1:71" s="261" customFormat="1" ht="15">
      <c r="A50" s="590" t="s">
        <v>569</v>
      </c>
      <c r="B50" s="468"/>
      <c r="C50" s="993">
        <f t="shared" si="148" ref="C50:AR50">C$38*C100</f>
        <v>4481.66</v>
      </c>
      <c r="D50" s="993">
        <f t="shared" si="148"/>
        <v>4498.9190000000008</v>
      </c>
      <c r="E50" s="993">
        <f t="shared" si="148"/>
        <v>4968.3910000000005</v>
      </c>
      <c r="F50" s="993">
        <f t="shared" si="148"/>
        <v>4659.0690000000004</v>
      </c>
      <c r="G50" s="993">
        <f t="shared" si="148"/>
        <v>4283.0559999999996</v>
      </c>
      <c r="H50" s="265">
        <f t="shared" si="148"/>
        <v>1045.9559999999999</v>
      </c>
      <c r="I50" s="265">
        <f t="shared" si="148"/>
        <v>1083.70</v>
      </c>
      <c r="J50" s="265">
        <f t="shared" si="148"/>
        <v>970.28399999999999</v>
      </c>
      <c r="K50" s="265">
        <f t="shared" si="148"/>
        <v>978.06</v>
      </c>
      <c r="L50" s="993">
        <f t="shared" si="148"/>
        <v>4080.125</v>
      </c>
      <c r="M50" s="265">
        <f t="shared" si="148"/>
        <v>1044.5599999999999</v>
      </c>
      <c r="N50" s="265">
        <f t="shared" si="148"/>
        <v>1068.454</v>
      </c>
      <c r="O50" s="265">
        <f t="shared" si="148"/>
        <v>1041.8399999999999</v>
      </c>
      <c r="P50" s="265">
        <f t="shared" si="148"/>
        <v>1080.6699999999998</v>
      </c>
      <c r="Q50" s="993">
        <f t="shared" si="148"/>
        <v>4235.5360000000001</v>
      </c>
      <c r="R50" s="265">
        <f t="shared" si="148"/>
        <v>1191.04</v>
      </c>
      <c r="S50" s="265">
        <f t="shared" si="148"/>
        <v>1267.7560000000001</v>
      </c>
      <c r="T50" s="265">
        <f t="shared" si="148"/>
        <v>1372.471</v>
      </c>
      <c r="U50" s="265">
        <f t="shared" si="148"/>
        <v>1446.376</v>
      </c>
      <c r="V50" s="993">
        <f t="shared" si="148"/>
        <v>5271.4689999999991</v>
      </c>
      <c r="W50" s="265">
        <f t="shared" si="148"/>
        <v>1393.095</v>
      </c>
      <c r="X50" s="265">
        <f t="shared" si="148"/>
        <v>1526.8880000000001</v>
      </c>
      <c r="Y50" s="265">
        <f t="shared" si="148"/>
        <v>1518.0280000000002</v>
      </c>
      <c r="Z50" s="265">
        <f t="shared" si="148"/>
        <v>1537.251</v>
      </c>
      <c r="AA50" s="993">
        <f t="shared" si="148"/>
        <v>5976.3200000000006</v>
      </c>
      <c r="AB50" s="265">
        <f t="shared" si="148"/>
        <v>1520.91</v>
      </c>
      <c r="AC50" s="265">
        <f t="shared" si="148"/>
        <v>1601.2809999999999</v>
      </c>
      <c r="AD50" s="265">
        <f t="shared" si="148"/>
        <v>1688.5539999999999</v>
      </c>
      <c r="AE50" s="265">
        <f t="shared" si="148"/>
        <v>1581.86</v>
      </c>
      <c r="AF50" s="993">
        <f t="shared" si="148"/>
        <v>6395.9680000000008</v>
      </c>
      <c r="AG50" s="265">
        <f t="shared" si="148"/>
        <v>1570.93</v>
      </c>
      <c r="AH50" s="265">
        <f t="shared" si="148"/>
        <v>1752.912</v>
      </c>
      <c r="AI50" s="265">
        <f t="shared" si="148"/>
        <v>1793.24</v>
      </c>
      <c r="AJ50" s="265">
        <f t="shared" si="148"/>
        <v>1681.317</v>
      </c>
      <c r="AK50" s="993">
        <f t="shared" si="148"/>
        <v>6795.0110000000004</v>
      </c>
      <c r="AL50" s="265">
        <f t="shared" si="148"/>
        <v>1557.6839999999997</v>
      </c>
      <c r="AM50" s="265">
        <f t="shared" si="148"/>
        <v>1386.8289999999997</v>
      </c>
      <c r="AN50" s="265">
        <f t="shared" si="148"/>
        <v>1754.768</v>
      </c>
      <c r="AO50" s="265">
        <f t="shared" si="148"/>
        <v>1641.14</v>
      </c>
      <c r="AP50" s="993">
        <f t="shared" si="148"/>
        <v>6341.4310000000005</v>
      </c>
      <c r="AQ50" s="265">
        <f t="shared" si="148"/>
        <v>1668.6440000000002</v>
      </c>
      <c r="AR50" s="265">
        <f t="shared" si="148"/>
        <v>1913.48</v>
      </c>
      <c r="AS50" s="265">
        <f t="shared" si="149" ref="AS50:AU52">AS$38*AS100</f>
        <v>2099.018</v>
      </c>
      <c r="AT50" s="265">
        <f t="shared" si="149"/>
        <v>1986.9759999999999</v>
      </c>
      <c r="AU50" s="993">
        <f t="shared" si="149"/>
        <v>7672.0710000000008</v>
      </c>
      <c r="AV50" s="265">
        <f t="shared" si="150" ref="AV50:AW52">AV$38*AV100</f>
        <v>2092.9250000000002</v>
      </c>
      <c r="AW50" s="265">
        <f t="shared" si="150"/>
        <v>2283.5520000000001</v>
      </c>
      <c r="AX50" s="265">
        <f t="shared" si="151" ref="AX50:AZ52">AX$38*AX100</f>
        <v>2527.585</v>
      </c>
      <c r="AY50" s="265">
        <f t="shared" si="151"/>
        <v>2511.0460000000003</v>
      </c>
      <c r="AZ50" s="993">
        <f t="shared" si="151"/>
        <v>9416.2500000000018</v>
      </c>
      <c r="BA50" s="265">
        <f t="shared" si="152" ref="BA50:BB52">BA$38*BA100</f>
        <v>2370.8280000000004</v>
      </c>
      <c r="BB50" s="265">
        <f t="shared" si="152"/>
        <v>2543.5810000000001</v>
      </c>
      <c r="BC50" s="265">
        <f t="shared" si="153" ref="BC50:BI52">BC$38*BC100</f>
        <v>2674.3339999999998</v>
      </c>
      <c r="BD50" s="265">
        <f t="shared" si="153"/>
        <v>2482.252</v>
      </c>
      <c r="BE50" s="993">
        <f t="shared" si="153"/>
        <v>10073.977999999999</v>
      </c>
      <c r="BF50" s="265">
        <f t="shared" si="154" ref="BF50:BG52">BF$38*BF100</f>
        <v>2463.92</v>
      </c>
      <c r="BG50" s="265">
        <f t="shared" si="154"/>
        <v>2519.2439999999997</v>
      </c>
      <c r="BH50" s="745">
        <f>BH$38*BH100</f>
        <v>2443.3420000000001</v>
      </c>
      <c r="BI50" s="210">
        <f t="shared" si="153"/>
        <v>2263.0720266000003</v>
      </c>
      <c r="BJ50" s="994">
        <f t="shared" si="123"/>
        <v>9689.5780266000002</v>
      </c>
      <c r="BK50" s="210">
        <f t="shared" si="155" ref="BK50:BN52">BK$38*BK100</f>
        <v>2112.2211264000002</v>
      </c>
      <c r="BL50" s="210">
        <f t="shared" si="155"/>
        <v>2936.7590174999996</v>
      </c>
      <c r="BM50" s="210">
        <f t="shared" si="155"/>
        <v>2968.6140791999997</v>
      </c>
      <c r="BN50" s="210">
        <f t="shared" si="155"/>
        <v>2398.8563481960005</v>
      </c>
      <c r="BO50" s="994">
        <f t="shared" si="125"/>
        <v>10416.450571296</v>
      </c>
      <c r="BP50" s="994">
        <f t="shared" si="156" ref="BP50:BR52">BP$38*BP100</f>
        <v>10896.955147556351</v>
      </c>
      <c r="BQ50" s="994">
        <f t="shared" si="156"/>
        <v>11354.996652063806</v>
      </c>
      <c r="BR50" s="994">
        <f t="shared" si="156"/>
        <v>12243.818803794318</v>
      </c>
      <c r="BS50" s="265"/>
    </row>
    <row r="51" spans="1:71" s="261" customFormat="1" ht="15">
      <c r="A51" s="590" t="s">
        <v>554</v>
      </c>
      <c r="B51" s="468"/>
      <c r="C51" s="993">
        <f t="shared" si="157" ref="C51:AR51">C$38*C101</f>
        <v>-135.22299999999998</v>
      </c>
      <c r="D51" s="993">
        <f t="shared" si="157"/>
        <v>-88.188000000000002</v>
      </c>
      <c r="E51" s="993">
        <f t="shared" si="157"/>
        <v>-113.83499999999999</v>
      </c>
      <c r="F51" s="993">
        <f t="shared" si="157"/>
        <v>-175.28299999999999</v>
      </c>
      <c r="G51" s="993">
        <f t="shared" si="157"/>
        <v>-205.072</v>
      </c>
      <c r="H51" s="265">
        <f t="shared" si="157"/>
        <v>-132.15000000000001</v>
      </c>
      <c r="I51" s="265">
        <f t="shared" si="157"/>
        <v>-12.411</v>
      </c>
      <c r="J51" s="265">
        <f t="shared" si="157"/>
        <v>-12.572000000000001</v>
      </c>
      <c r="K51" s="265">
        <f t="shared" si="157"/>
        <v>-12.558</v>
      </c>
      <c r="L51" s="993">
        <f t="shared" si="157"/>
        <v>-171</v>
      </c>
      <c r="M51" s="265">
        <f t="shared" si="157"/>
        <v>-132.29999999999998</v>
      </c>
      <c r="N51" s="265">
        <f t="shared" si="157"/>
        <v>-62.930000000000007</v>
      </c>
      <c r="O51" s="265">
        <f t="shared" si="157"/>
        <v>-47.84</v>
      </c>
      <c r="P51" s="265">
        <f t="shared" si="157"/>
        <v>-35.454000000000001</v>
      </c>
      <c r="Q51" s="993">
        <f t="shared" si="157"/>
        <v>-276.18399999999997</v>
      </c>
      <c r="R51" s="265">
        <f t="shared" si="157"/>
        <v>-40.300000000000004</v>
      </c>
      <c r="S51" s="265">
        <f t="shared" si="157"/>
        <v>-4.1379999999999999</v>
      </c>
      <c r="T51" s="265">
        <f t="shared" si="157"/>
        <v>10.695</v>
      </c>
      <c r="U51" s="265">
        <f t="shared" si="157"/>
        <v>35.136000000000003</v>
      </c>
      <c r="V51" s="993">
        <f t="shared" si="157"/>
        <v>0</v>
      </c>
      <c r="W51" s="265">
        <f t="shared" si="157"/>
        <v>-6.5970000000000004</v>
      </c>
      <c r="X51" s="265">
        <f t="shared" si="157"/>
        <v>0</v>
      </c>
      <c r="Y51" s="265">
        <f t="shared" si="157"/>
        <v>0</v>
      </c>
      <c r="Z51" s="265">
        <f t="shared" si="157"/>
        <v>-7.2090000000000005</v>
      </c>
      <c r="AA51" s="993">
        <f t="shared" si="157"/>
        <v>-9.23</v>
      </c>
      <c r="AB51" s="265">
        <f t="shared" si="157"/>
        <v>-47.74</v>
      </c>
      <c r="AC51" s="265">
        <f t="shared" si="157"/>
        <v>-12.265</v>
      </c>
      <c r="AD51" s="265">
        <f t="shared" si="157"/>
        <v>-15.132</v>
      </c>
      <c r="AE51" s="265">
        <f t="shared" si="157"/>
        <v>-28.104999999999997</v>
      </c>
      <c r="AF51" s="993">
        <f t="shared" si="157"/>
        <v>-109.08699999999999</v>
      </c>
      <c r="AG51" s="265">
        <f t="shared" si="157"/>
        <v>-70.195999999999998</v>
      </c>
      <c r="AH51" s="265">
        <f t="shared" si="157"/>
        <v>-12.865</v>
      </c>
      <c r="AI51" s="265">
        <f t="shared" si="157"/>
        <v>-18.507999999999999</v>
      </c>
      <c r="AJ51" s="265">
        <f t="shared" si="157"/>
        <v>-32.195999999999998</v>
      </c>
      <c r="AK51" s="993">
        <f t="shared" si="157"/>
        <v>-135.291</v>
      </c>
      <c r="AL51" s="265">
        <f t="shared" si="157"/>
        <v>-21.584</v>
      </c>
      <c r="AM51" s="265">
        <f t="shared" si="157"/>
        <v>-32.850999999999999</v>
      </c>
      <c r="AN51" s="265">
        <f t="shared" si="157"/>
        <v>-360.44799999999998</v>
      </c>
      <c r="AO51" s="265">
        <f t="shared" si="157"/>
        <v>-23.088000000000001</v>
      </c>
      <c r="AP51" s="993">
        <f t="shared" si="157"/>
        <v>-448.00700000000001</v>
      </c>
      <c r="AQ51" s="265">
        <f t="shared" si="157"/>
        <v>-167.79599999999999</v>
      </c>
      <c r="AR51" s="265">
        <f t="shared" si="157"/>
        <v>-65.11999999999999</v>
      </c>
      <c r="AS51" s="265">
        <f t="shared" si="149"/>
        <v>-30.53</v>
      </c>
      <c r="AT51" s="265">
        <f t="shared" si="149"/>
        <v>3.1259999999999999</v>
      </c>
      <c r="AU51" s="993">
        <f t="shared" si="149"/>
        <v>-263.62599999999998</v>
      </c>
      <c r="AV51" s="265">
        <f t="shared" si="150"/>
        <v>-3.1230000000000002</v>
      </c>
      <c r="AW51" s="265">
        <f t="shared" si="150"/>
        <v>-16.240000000000002</v>
      </c>
      <c r="AX51" s="265">
        <f t="shared" si="151"/>
        <v>-16.925</v>
      </c>
      <c r="AY51" s="265">
        <f t="shared" si="151"/>
        <v>-6.9880000000000004</v>
      </c>
      <c r="AZ51" s="993">
        <f t="shared" si="151"/>
        <v>-39.75</v>
      </c>
      <c r="BA51" s="265">
        <f t="shared" si="152"/>
        <v>-28.016000000000002</v>
      </c>
      <c r="BB51" s="265">
        <f t="shared" si="152"/>
        <v>-43.932000000000002</v>
      </c>
      <c r="BC51" s="265">
        <f t="shared" si="153"/>
        <v>-38.270000000000003</v>
      </c>
      <c r="BD51" s="265">
        <f t="shared" si="153"/>
        <v>-43.692</v>
      </c>
      <c r="BE51" s="993">
        <f t="shared" si="153"/>
        <v>-149.62</v>
      </c>
      <c r="BF51" s="265">
        <f t="shared" si="154"/>
        <v>-64.16</v>
      </c>
      <c r="BG51" s="265">
        <f t="shared" si="154"/>
        <v>-172.11600000000001</v>
      </c>
      <c r="BH51" s="745">
        <f>BH$38*BH101</f>
        <v>-181.50299999999999</v>
      </c>
      <c r="BI51" s="210">
        <f t="shared" si="153"/>
        <v>0</v>
      </c>
      <c r="BJ51" s="994">
        <f t="shared" si="123"/>
        <v>-417.779</v>
      </c>
      <c r="BK51" s="210">
        <f t="shared" si="155"/>
        <v>0</v>
      </c>
      <c r="BL51" s="210">
        <f t="shared" si="155"/>
        <v>0</v>
      </c>
      <c r="BM51" s="210">
        <f t="shared" si="155"/>
        <v>0</v>
      </c>
      <c r="BN51" s="210">
        <f t="shared" si="155"/>
        <v>0</v>
      </c>
      <c r="BO51" s="994">
        <f t="shared" si="125"/>
        <v>0</v>
      </c>
      <c r="BP51" s="994">
        <f t="shared" si="156"/>
        <v>0</v>
      </c>
      <c r="BQ51" s="994">
        <f t="shared" si="156"/>
        <v>0</v>
      </c>
      <c r="BR51" s="994">
        <f t="shared" si="156"/>
        <v>0</v>
      </c>
      <c r="BS51" s="265"/>
    </row>
    <row r="52" spans="1:71" s="261" customFormat="1" ht="15">
      <c r="A52" s="591" t="s">
        <v>555</v>
      </c>
      <c r="B52" s="469"/>
      <c r="C52" s="995">
        <f t="shared" si="158" ref="C52:AR52">C$38*C102</f>
        <v>277.56299999999999</v>
      </c>
      <c r="D52" s="995">
        <f t="shared" si="158"/>
        <v>595.26900000000001</v>
      </c>
      <c r="E52" s="995">
        <f t="shared" si="158"/>
        <v>1487.444</v>
      </c>
      <c r="F52" s="995">
        <f t="shared" si="158"/>
        <v>1021.2140000000001</v>
      </c>
      <c r="G52" s="995">
        <f t="shared" si="158"/>
        <v>249.01600000000002</v>
      </c>
      <c r="H52" s="186">
        <f t="shared" si="158"/>
        <v>65.194000000000003</v>
      </c>
      <c r="I52" s="186">
        <f t="shared" si="158"/>
        <v>189.71099999999998</v>
      </c>
      <c r="J52" s="186">
        <f t="shared" si="158"/>
        <v>50.288000000000004</v>
      </c>
      <c r="K52" s="186">
        <f t="shared" si="158"/>
        <v>30.498000000000001</v>
      </c>
      <c r="L52" s="995">
        <f t="shared" si="158"/>
        <v>334.875</v>
      </c>
      <c r="M52" s="186">
        <f t="shared" si="158"/>
        <v>61.740000000000009</v>
      </c>
      <c r="N52" s="186">
        <f t="shared" si="158"/>
        <v>111.476</v>
      </c>
      <c r="O52" s="186">
        <f t="shared" si="158"/>
        <v>46</v>
      </c>
      <c r="P52" s="186">
        <f t="shared" si="158"/>
        <v>44.783999999999999</v>
      </c>
      <c r="Q52" s="995">
        <f t="shared" si="158"/>
        <v>261.64799999999997</v>
      </c>
      <c r="R52" s="186">
        <f t="shared" si="158"/>
        <v>169.26000000000002</v>
      </c>
      <c r="S52" s="186">
        <f t="shared" si="158"/>
        <v>161.38200000000001</v>
      </c>
      <c r="T52" s="186">
        <f t="shared" si="158"/>
        <v>12.834</v>
      </c>
      <c r="U52" s="186">
        <f t="shared" si="158"/>
        <v>61.488</v>
      </c>
      <c r="V52" s="995">
        <f t="shared" si="158"/>
        <v>412.53100000000001</v>
      </c>
      <c r="W52" s="186">
        <f t="shared" si="158"/>
        <v>215.50200000000001</v>
      </c>
      <c r="X52" s="186">
        <f t="shared" si="158"/>
        <v>218.11199999999999</v>
      </c>
      <c r="Y52" s="186">
        <f t="shared" si="158"/>
        <v>204.97199999999998</v>
      </c>
      <c r="Z52" s="186">
        <f t="shared" si="158"/>
        <v>446.95799999999997</v>
      </c>
      <c r="AA52" s="995">
        <f t="shared" si="158"/>
        <v>1079.9100000000001</v>
      </c>
      <c r="AB52" s="186">
        <f t="shared" si="158"/>
        <v>214.82999999999998</v>
      </c>
      <c r="AC52" s="186">
        <f t="shared" si="158"/>
        <v>313.98399999999998</v>
      </c>
      <c r="AD52" s="186">
        <f t="shared" si="158"/>
        <v>123.578</v>
      </c>
      <c r="AE52" s="186">
        <f t="shared" si="158"/>
        <v>406.245</v>
      </c>
      <c r="AF52" s="995">
        <f t="shared" si="158"/>
        <v>1061.1189999999999</v>
      </c>
      <c r="AG52" s="186">
        <f t="shared" si="158"/>
        <v>95.265999999999991</v>
      </c>
      <c r="AH52" s="186">
        <f t="shared" si="158"/>
        <v>156.953</v>
      </c>
      <c r="AI52" s="186">
        <f t="shared" si="158"/>
        <v>124.268</v>
      </c>
      <c r="AJ52" s="186">
        <f t="shared" si="158"/>
        <v>34.878999999999998</v>
      </c>
      <c r="AK52" s="995">
        <f t="shared" si="158"/>
        <v>416.28</v>
      </c>
      <c r="AL52" s="186">
        <f t="shared" si="158"/>
        <v>134.90000000000001</v>
      </c>
      <c r="AM52" s="186">
        <f t="shared" si="158"/>
        <v>470.02199999999999</v>
      </c>
      <c r="AN52" s="186">
        <f t="shared" si="158"/>
        <v>295.68</v>
      </c>
      <c r="AO52" s="186">
        <f t="shared" si="158"/>
        <v>51.947999999999993</v>
      </c>
      <c r="AP52" s="995">
        <f t="shared" si="158"/>
        <v>961.57599999999991</v>
      </c>
      <c r="AQ52" s="186">
        <f t="shared" si="158"/>
        <v>307.15199999999999</v>
      </c>
      <c r="AR52" s="186">
        <f t="shared" si="158"/>
        <v>322.64</v>
      </c>
      <c r="AS52" s="186">
        <f t="shared" si="149"/>
        <v>317.512</v>
      </c>
      <c r="AT52" s="186">
        <f t="shared" si="149"/>
        <v>71.897999999999996</v>
      </c>
      <c r="AU52" s="995">
        <f t="shared" si="149"/>
        <v>1018.5550000000001</v>
      </c>
      <c r="AV52" s="186">
        <f t="shared" si="150"/>
        <v>81.197999999999993</v>
      </c>
      <c r="AW52" s="186">
        <f t="shared" si="150"/>
        <v>506.68799999999999</v>
      </c>
      <c r="AX52" s="186">
        <f t="shared" si="151"/>
        <v>284.34000000000003</v>
      </c>
      <c r="AY52" s="186">
        <f t="shared" si="151"/>
        <v>324.94200000000001</v>
      </c>
      <c r="AZ52" s="995">
        <f t="shared" si="151"/>
        <v>1192.50</v>
      </c>
      <c r="BA52" s="186">
        <f t="shared" si="152"/>
        <v>329.18799999999999</v>
      </c>
      <c r="BB52" s="186">
        <f t="shared" si="152"/>
        <v>1065.3509999999999</v>
      </c>
      <c r="BC52" s="186">
        <f t="shared" si="153"/>
        <v>642.93600000000004</v>
      </c>
      <c r="BD52" s="186">
        <f t="shared" si="153"/>
        <v>79.44</v>
      </c>
      <c r="BE52" s="995">
        <f t="shared" si="153"/>
        <v>2109.6419999999998</v>
      </c>
      <c r="BF52" s="186">
        <f t="shared" si="154"/>
        <v>497.24</v>
      </c>
      <c r="BG52" s="186">
        <f t="shared" si="154"/>
        <v>1081.8720000000001</v>
      </c>
      <c r="BH52" s="746">
        <f>BH$38*BH102</f>
        <v>595.16099999999994</v>
      </c>
      <c r="BI52" s="205">
        <f t="shared" si="153"/>
        <v>325.05943654800001</v>
      </c>
      <c r="BJ52" s="996">
        <f t="shared" si="123"/>
        <v>2499.3324365480003</v>
      </c>
      <c r="BK52" s="205">
        <f t="shared" si="155"/>
        <v>307.23216384000006</v>
      </c>
      <c r="BL52" s="205">
        <f t="shared" si="155"/>
        <v>375.90515424</v>
      </c>
      <c r="BM52" s="205">
        <f t="shared" si="155"/>
        <v>395.81521055999997</v>
      </c>
      <c r="BN52" s="205">
        <f t="shared" si="155"/>
        <v>344.56300274088005</v>
      </c>
      <c r="BO52" s="996">
        <f t="shared" si="125"/>
        <v>1423.51553138088</v>
      </c>
      <c r="BP52" s="996">
        <f t="shared" si="156"/>
        <v>1477.5532403466239</v>
      </c>
      <c r="BQ52" s="996">
        <f t="shared" si="156"/>
        <v>1566.2064347674218</v>
      </c>
      <c r="BR52" s="996">
        <f t="shared" si="156"/>
        <v>1660.1788208534672</v>
      </c>
      <c r="BS52" s="265"/>
    </row>
    <row r="53" spans="1:71" s="24" customFormat="1" ht="15">
      <c r="A53" s="179" t="s">
        <v>46</v>
      </c>
      <c r="B53" s="446"/>
      <c r="C53" s="995">
        <f t="shared" si="159" ref="C53:AM53">C288</f>
        <v>4624</v>
      </c>
      <c r="D53" s="995">
        <f t="shared" si="159"/>
        <v>5006</v>
      </c>
      <c r="E53" s="995">
        <f t="shared" si="159"/>
        <v>6342</v>
      </c>
      <c r="F53" s="995">
        <f t="shared" si="159"/>
        <v>5505</v>
      </c>
      <c r="G53" s="995">
        <f t="shared" si="159"/>
        <v>4327</v>
      </c>
      <c r="H53" s="186">
        <f t="shared" si="159"/>
        <v>979</v>
      </c>
      <c r="I53" s="186">
        <f t="shared" si="159"/>
        <v>1261</v>
      </c>
      <c r="J53" s="186">
        <f t="shared" si="159"/>
        <v>1008</v>
      </c>
      <c r="K53" s="186">
        <f t="shared" si="159"/>
        <v>996</v>
      </c>
      <c r="L53" s="995">
        <f t="shared" si="159"/>
        <v>4244</v>
      </c>
      <c r="M53" s="186">
        <f t="shared" si="159"/>
        <v>974</v>
      </c>
      <c r="N53" s="186">
        <f t="shared" si="159"/>
        <v>1117</v>
      </c>
      <c r="O53" s="186">
        <f t="shared" si="159"/>
        <v>1040</v>
      </c>
      <c r="P53" s="186">
        <f t="shared" si="159"/>
        <v>1090</v>
      </c>
      <c r="Q53" s="995">
        <f t="shared" si="159"/>
        <v>4221</v>
      </c>
      <c r="R53" s="186">
        <f t="shared" si="159"/>
        <v>1320</v>
      </c>
      <c r="S53" s="186">
        <f t="shared" si="159"/>
        <v>1425</v>
      </c>
      <c r="T53" s="186">
        <f t="shared" si="159"/>
        <v>1396</v>
      </c>
      <c r="U53" s="186">
        <f t="shared" si="159"/>
        <v>1543</v>
      </c>
      <c r="V53" s="995">
        <f t="shared" si="159"/>
        <v>5684</v>
      </c>
      <c r="W53" s="186">
        <f t="shared" si="159"/>
        <v>1602</v>
      </c>
      <c r="X53" s="186">
        <f t="shared" si="159"/>
        <v>1745</v>
      </c>
      <c r="Y53" s="186">
        <f t="shared" si="159"/>
        <v>1723</v>
      </c>
      <c r="Z53" s="186">
        <f t="shared" si="159"/>
        <v>1977</v>
      </c>
      <c r="AA53" s="995">
        <f t="shared" si="159"/>
        <v>7047</v>
      </c>
      <c r="AB53" s="186">
        <f t="shared" si="159"/>
        <v>1688</v>
      </c>
      <c r="AC53" s="186">
        <f t="shared" si="159"/>
        <v>1903</v>
      </c>
      <c r="AD53" s="186">
        <f t="shared" si="159"/>
        <v>1797</v>
      </c>
      <c r="AE53" s="186">
        <f t="shared" si="159"/>
        <v>1960</v>
      </c>
      <c r="AF53" s="995">
        <f t="shared" si="159"/>
        <v>7348</v>
      </c>
      <c r="AG53" s="186">
        <f t="shared" si="159"/>
        <v>1596</v>
      </c>
      <c r="AH53" s="186">
        <f t="shared" si="159"/>
        <v>1897</v>
      </c>
      <c r="AI53" s="186">
        <f t="shared" si="159"/>
        <v>1899</v>
      </c>
      <c r="AJ53" s="186">
        <f t="shared" si="159"/>
        <v>1684</v>
      </c>
      <c r="AK53" s="995">
        <f t="shared" si="159"/>
        <v>7076</v>
      </c>
      <c r="AL53" s="186">
        <f t="shared" si="159"/>
        <v>1671</v>
      </c>
      <c r="AM53" s="186">
        <f t="shared" si="159"/>
        <v>1824</v>
      </c>
      <c r="AN53" s="186">
        <f>AN288</f>
        <v>1690</v>
      </c>
      <c r="AO53" s="186">
        <f t="shared" si="160" ref="AO53:AQ53">AO288</f>
        <v>1670</v>
      </c>
      <c r="AP53" s="995">
        <f t="shared" si="160"/>
        <v>6855</v>
      </c>
      <c r="AQ53" s="186">
        <f t="shared" si="160"/>
        <v>1808</v>
      </c>
      <c r="AR53" s="186">
        <f t="shared" si="161" ref="AR53:AW53">AR288</f>
        <v>2171</v>
      </c>
      <c r="AS53" s="186">
        <f t="shared" si="161"/>
        <v>2386</v>
      </c>
      <c r="AT53" s="186">
        <f t="shared" si="161"/>
        <v>2062</v>
      </c>
      <c r="AU53" s="995">
        <f t="shared" si="161"/>
        <v>8427</v>
      </c>
      <c r="AV53" s="186">
        <f t="shared" si="161"/>
        <v>2171</v>
      </c>
      <c r="AW53" s="186">
        <f t="shared" si="161"/>
        <v>2774</v>
      </c>
      <c r="AX53" s="186">
        <f t="shared" si="162" ref="AX53:BC53">AX288</f>
        <v>2795</v>
      </c>
      <c r="AY53" s="186">
        <f t="shared" si="162"/>
        <v>2829</v>
      </c>
      <c r="AZ53" s="995">
        <f t="shared" si="162"/>
        <v>10569</v>
      </c>
      <c r="BA53" s="186">
        <f t="shared" si="162"/>
        <v>2672</v>
      </c>
      <c r="BB53" s="186">
        <f t="shared" si="162"/>
        <v>3565</v>
      </c>
      <c r="BC53" s="186">
        <f t="shared" si="162"/>
        <v>3279</v>
      </c>
      <c r="BD53" s="186">
        <f>BD288</f>
        <v>2518</v>
      </c>
      <c r="BE53" s="995">
        <f>BE288</f>
        <v>12034</v>
      </c>
      <c r="BF53" s="186">
        <f>BF288</f>
        <v>2897</v>
      </c>
      <c r="BG53" s="186">
        <f>BG288</f>
        <v>3429</v>
      </c>
      <c r="BH53" s="746">
        <f>BH288</f>
        <v>2857</v>
      </c>
      <c r="BI53" s="205">
        <f>SUM(BI50:BI52)</f>
        <v>2588.1314631480004</v>
      </c>
      <c r="BJ53" s="996">
        <f t="shared" si="123"/>
        <v>11771.131463148</v>
      </c>
      <c r="BK53" s="205">
        <f>SUM(BK50:BK52)</f>
        <v>2419.4532902400001</v>
      </c>
      <c r="BL53" s="205">
        <f>SUM(BL50:BL52)</f>
        <v>3312.6641717399998</v>
      </c>
      <c r="BM53" s="205">
        <f>SUM(BM50:BM52)</f>
        <v>3364.4292897599998</v>
      </c>
      <c r="BN53" s="205">
        <f>SUM(BN50:BN52)</f>
        <v>2743.4193509368806</v>
      </c>
      <c r="BO53" s="996">
        <f t="shared" si="125"/>
        <v>11839.966102676881</v>
      </c>
      <c r="BP53" s="996">
        <f>SUM(BP50:BP52)</f>
        <v>12374.508387902975</v>
      </c>
      <c r="BQ53" s="996">
        <f>SUM(BQ50:BQ52)</f>
        <v>12921.203086831229</v>
      </c>
      <c r="BR53" s="996">
        <f>SUM(BR50:BR52)</f>
        <v>13903.997624647785</v>
      </c>
      <c r="BS53" s="833"/>
    </row>
    <row r="54" spans="1:71" s="24" customFormat="1" ht="15">
      <c r="A54" s="184" t="s">
        <v>570</v>
      </c>
      <c r="B54" s="445"/>
      <c r="C54" s="993">
        <f t="shared" si="163" ref="C54:AQ56">C42+C46+C50</f>
        <v>13276.846</v>
      </c>
      <c r="D54" s="993">
        <f t="shared" si="163"/>
        <v>13344.975000000002</v>
      </c>
      <c r="E54" s="993">
        <f t="shared" si="163"/>
        <v>14436.859</v>
      </c>
      <c r="F54" s="993">
        <f t="shared" si="163"/>
        <v>13749.365999999998</v>
      </c>
      <c r="G54" s="993">
        <f t="shared" si="163"/>
        <v>13553.569</v>
      </c>
      <c r="H54" s="265">
        <f t="shared" si="163"/>
        <v>3458.0199999999995</v>
      </c>
      <c r="I54" s="265">
        <f t="shared" si="163"/>
        <v>3575.7289999999994</v>
      </c>
      <c r="J54" s="265">
        <f t="shared" si="163"/>
        <v>3549.30</v>
      </c>
      <c r="K54" s="265">
        <f t="shared" si="163"/>
        <v>3520.8110000000001</v>
      </c>
      <c r="L54" s="993">
        <f t="shared" si="163"/>
        <v>14106.852999999999</v>
      </c>
      <c r="M54" s="265">
        <f t="shared" si="163"/>
        <v>3514.1120000000001</v>
      </c>
      <c r="N54" s="265">
        <f t="shared" si="163"/>
        <v>3533.6210000000001</v>
      </c>
      <c r="O54" s="265">
        <f t="shared" si="163"/>
        <v>3497.2089999999998</v>
      </c>
      <c r="P54" s="265">
        <f t="shared" si="163"/>
        <v>3609.1500000000005</v>
      </c>
      <c r="Q54" s="993">
        <f t="shared" si="163"/>
        <v>14151.637000000001</v>
      </c>
      <c r="R54" s="265">
        <f t="shared" si="163"/>
        <v>3577.0340000000001</v>
      </c>
      <c r="S54" s="265">
        <f t="shared" si="163"/>
        <v>3719.4490000000005</v>
      </c>
      <c r="T54" s="265">
        <f t="shared" si="163"/>
        <v>3807.7979999999998</v>
      </c>
      <c r="U54" s="265">
        <f t="shared" si="163"/>
        <v>3868.3460000000005</v>
      </c>
      <c r="V54" s="993">
        <f t="shared" si="163"/>
        <v>14959.423999999999</v>
      </c>
      <c r="W54" s="265">
        <f t="shared" si="163"/>
        <v>3830.3900000000003</v>
      </c>
      <c r="X54" s="265">
        <f t="shared" si="163"/>
        <v>4023.7950000000001</v>
      </c>
      <c r="Y54" s="265">
        <f t="shared" si="163"/>
        <v>4121.844000000001</v>
      </c>
      <c r="Z54" s="265">
        <f t="shared" si="163"/>
        <v>4138.3760000000002</v>
      </c>
      <c r="AA54" s="993">
        <f t="shared" si="163"/>
        <v>16119.892000000003</v>
      </c>
      <c r="AB54" s="265">
        <f t="shared" si="163"/>
        <v>4092.4700000000003</v>
      </c>
      <c r="AC54" s="265">
        <f t="shared" si="163"/>
        <v>4260.6779999999999</v>
      </c>
      <c r="AD54" s="265">
        <f t="shared" si="163"/>
        <v>4401.8949999999995</v>
      </c>
      <c r="AE54" s="265">
        <f t="shared" si="163"/>
        <v>4331.5199999999995</v>
      </c>
      <c r="AF54" s="993">
        <f t="shared" si="163"/>
        <v>17090.099999999999</v>
      </c>
      <c r="AG54" s="265">
        <f t="shared" si="163"/>
        <v>4300.9279999999999</v>
      </c>
      <c r="AH54" s="265">
        <f t="shared" si="163"/>
        <v>4575.4930000000004</v>
      </c>
      <c r="AI54" s="265">
        <f t="shared" si="163"/>
        <v>4695.2969999999996</v>
      </c>
      <c r="AJ54" s="265">
        <f t="shared" si="163"/>
        <v>4612.692</v>
      </c>
      <c r="AK54" s="993">
        <f t="shared" si="163"/>
        <v>18191.906000000003</v>
      </c>
      <c r="AL54" s="265">
        <f t="shared" si="163"/>
        <v>4485.0139999999992</v>
      </c>
      <c r="AM54" s="265">
        <f t="shared" si="163"/>
        <v>4253.0929999999998</v>
      </c>
      <c r="AN54" s="265">
        <f t="shared" si="163"/>
        <v>4629.7960000000003</v>
      </c>
      <c r="AO54" s="265">
        <f t="shared" si="163"/>
        <v>4488.9320000000007</v>
      </c>
      <c r="AP54" s="993">
        <f t="shared" si="163"/>
        <v>17864.027000000002</v>
      </c>
      <c r="AQ54" s="265">
        <f t="shared" si="163"/>
        <v>4450.9120000000003</v>
      </c>
      <c r="AR54" s="265">
        <f t="shared" si="164" ref="AR54:AW54">AR42+AR46+AR50</f>
        <v>4751.0079999999998</v>
      </c>
      <c r="AS54" s="265">
        <f t="shared" si="164"/>
        <v>4905.7460000000001</v>
      </c>
      <c r="AT54" s="265">
        <f t="shared" si="164"/>
        <v>4872.99</v>
      </c>
      <c r="AU54" s="993">
        <f t="shared" si="164"/>
        <v>18976.471000000001</v>
      </c>
      <c r="AV54" s="265">
        <f t="shared" si="164"/>
        <v>5032.0040000000008</v>
      </c>
      <c r="AW54" s="265">
        <f t="shared" si="164"/>
        <v>5348.5900000000001</v>
      </c>
      <c r="AX54" s="265">
        <f t="shared" si="165" ref="AX54:AZ57">AX42+AX46+AX50</f>
        <v>5598.0889999999999</v>
      </c>
      <c r="AY54" s="265">
        <f t="shared" si="165"/>
        <v>5647.8060000000005</v>
      </c>
      <c r="AZ54" s="993">
        <f t="shared" si="165"/>
        <v>21625.974000000002</v>
      </c>
      <c r="BA54" s="265">
        <f t="shared" si="166" ref="BA54:BB57">BA42+BA46+BA50</f>
        <v>5532.1229999999996</v>
      </c>
      <c r="BB54" s="265">
        <f t="shared" si="166"/>
        <v>5806.1499999999996</v>
      </c>
      <c r="BC54" s="265">
        <f t="shared" si="167" ref="BC54:BI57">BC42+BC46+BC50</f>
        <v>6144.8549999999996</v>
      </c>
      <c r="BD54" s="265">
        <f t="shared" si="167"/>
        <v>5890.2749999999996</v>
      </c>
      <c r="BE54" s="993">
        <f t="shared" si="167"/>
        <v>23393.165999999997</v>
      </c>
      <c r="BF54" s="265">
        <f t="shared" si="168" ref="BF54:BG57">BF42+BF46+BF50</f>
        <v>6030.48</v>
      </c>
      <c r="BG54" s="265">
        <f t="shared" si="168"/>
        <v>6091.02</v>
      </c>
      <c r="BH54" s="745">
        <f>BH42+BH46+BH50</f>
        <v>6181.1750000000002</v>
      </c>
      <c r="BI54" s="210">
        <f t="shared" si="167"/>
        <v>5965.4669252200001</v>
      </c>
      <c r="BJ54" s="994">
        <f t="shared" si="169" ref="BJ54:BJ57">BJ42+BJ46+BJ50</f>
        <v>24268.141925219999</v>
      </c>
      <c r="BK54" s="210">
        <f t="shared" si="170" ref="BK54:BR57">BK42+BK46+BK50</f>
        <v>6374.208589580001</v>
      </c>
      <c r="BL54" s="210">
        <f t="shared" si="170"/>
        <v>7132.4980888700002</v>
      </c>
      <c r="BM54" s="210">
        <f t="shared" si="170"/>
        <v>7125.4031371600004</v>
      </c>
      <c r="BN54" s="210">
        <f t="shared" si="170"/>
        <v>6212.3230937746002</v>
      </c>
      <c r="BO54" s="994">
        <f t="shared" si="170"/>
        <v>26844.432909384603</v>
      </c>
      <c r="BP54" s="994">
        <f t="shared" si="170"/>
        <v>27101.442633440885</v>
      </c>
      <c r="BQ54" s="994">
        <f t="shared" si="170"/>
        <v>27584.120320427792</v>
      </c>
      <c r="BR54" s="994">
        <f t="shared" si="170"/>
        <v>29045.943654354433</v>
      </c>
      <c r="BS54" s="833"/>
    </row>
    <row r="55" spans="1:71" s="24" customFormat="1" ht="15">
      <c r="A55" s="184" t="s">
        <v>556</v>
      </c>
      <c r="B55" s="445"/>
      <c r="C55" s="993">
        <f t="shared" si="163"/>
        <v>-1325.23</v>
      </c>
      <c r="D55" s="993">
        <f t="shared" si="163"/>
        <v>-1251.2580000000003</v>
      </c>
      <c r="E55" s="993">
        <f t="shared" si="163"/>
        <v>-721.69100000000003</v>
      </c>
      <c r="F55" s="993">
        <f t="shared" si="163"/>
        <v>-941.33299999999997</v>
      </c>
      <c r="G55" s="993">
        <f t="shared" si="163"/>
        <v>-836.80899999999997</v>
      </c>
      <c r="H55" s="265">
        <f t="shared" si="163"/>
        <v>-294.61199999999997</v>
      </c>
      <c r="I55" s="265">
        <f t="shared" si="163"/>
        <v>-183.80199999999999</v>
      </c>
      <c r="J55" s="265">
        <f t="shared" si="163"/>
        <v>-113.58199999999999</v>
      </c>
      <c r="K55" s="265">
        <f t="shared" si="163"/>
        <v>-349.635</v>
      </c>
      <c r="L55" s="993">
        <f t="shared" si="163"/>
        <v>-940.75599999999997</v>
      </c>
      <c r="M55" s="265">
        <f t="shared" si="163"/>
        <v>-243.096</v>
      </c>
      <c r="N55" s="265">
        <f t="shared" si="163"/>
        <v>-204.33</v>
      </c>
      <c r="O55" s="265">
        <f t="shared" si="163"/>
        <v>-201.93100000000001</v>
      </c>
      <c r="P55" s="265">
        <f t="shared" si="163"/>
        <v>-290.93400000000003</v>
      </c>
      <c r="Q55" s="993">
        <f t="shared" si="163"/>
        <v>-941.31200000000001</v>
      </c>
      <c r="R55" s="265">
        <f t="shared" si="163"/>
        <v>-181.648</v>
      </c>
      <c r="S55" s="265">
        <f t="shared" si="163"/>
        <v>-286.69799999999992</v>
      </c>
      <c r="T55" s="265">
        <f t="shared" si="163"/>
        <v>-39.215000000000003</v>
      </c>
      <c r="U55" s="265">
        <f t="shared" si="163"/>
        <v>-264.59099999999995</v>
      </c>
      <c r="V55" s="993">
        <f t="shared" si="163"/>
        <v>-779.805</v>
      </c>
      <c r="W55" s="265">
        <f t="shared" si="163"/>
        <v>-82.748999999999981</v>
      </c>
      <c r="X55" s="265">
        <f t="shared" si="163"/>
        <v>-203.76900000000001</v>
      </c>
      <c r="Y55" s="265">
        <f t="shared" si="163"/>
        <v>-16.047000000000001</v>
      </c>
      <c r="Z55" s="265">
        <f t="shared" si="163"/>
        <v>-293.07999999999998</v>
      </c>
      <c r="AA55" s="993">
        <f t="shared" si="163"/>
        <v>-588.48300000000006</v>
      </c>
      <c r="AB55" s="265">
        <f t="shared" si="163"/>
        <v>-150.452</v>
      </c>
      <c r="AC55" s="265">
        <f t="shared" si="163"/>
        <v>-184.95599999999996</v>
      </c>
      <c r="AD55" s="265">
        <f t="shared" si="163"/>
        <v>-12.665999999999999</v>
      </c>
      <c r="AE55" s="265">
        <f t="shared" si="163"/>
        <v>-162.62499999999997</v>
      </c>
      <c r="AF55" s="993">
        <f t="shared" si="163"/>
        <v>-522.50699999999995</v>
      </c>
      <c r="AG55" s="265">
        <f t="shared" si="163"/>
        <v>-50.774000000000001</v>
      </c>
      <c r="AH55" s="265">
        <f t="shared" si="163"/>
        <v>-123.92599999999999</v>
      </c>
      <c r="AI55" s="265">
        <f t="shared" si="163"/>
        <v>292.66900000000004</v>
      </c>
      <c r="AJ55" s="265">
        <f t="shared" si="163"/>
        <v>-59.527999999999999</v>
      </c>
      <c r="AK55" s="993">
        <f t="shared" si="163"/>
        <v>60.684000000000026</v>
      </c>
      <c r="AL55" s="265">
        <f t="shared" si="163"/>
        <v>-25.448</v>
      </c>
      <c r="AM55" s="265">
        <f t="shared" si="163"/>
        <v>-0.28000000000000114</v>
      </c>
      <c r="AN55" s="265">
        <f t="shared" si="163"/>
        <v>-137.66999999999996</v>
      </c>
      <c r="AO55" s="265">
        <f t="shared" si="163"/>
        <v>-177.49600000000001</v>
      </c>
      <c r="AP55" s="993">
        <f t="shared" si="163"/>
        <v>-356.24299999999999</v>
      </c>
      <c r="AQ55" s="265">
        <f t="shared" si="163"/>
        <v>-316.36400000000003</v>
      </c>
      <c r="AR55" s="265">
        <f t="shared" si="171" ref="AR55:AR56">AR43+AR47+AR51</f>
        <v>-183.072</v>
      </c>
      <c r="AS55" s="265">
        <f t="shared" si="172" ref="AS55:AU57">AS43+AS47+AS51</f>
        <v>55.703999999999994</v>
      </c>
      <c r="AT55" s="265">
        <f t="shared" si="172"/>
        <v>-94.793999999999997</v>
      </c>
      <c r="AU55" s="993">
        <f t="shared" si="172"/>
        <v>-540.25399999999991</v>
      </c>
      <c r="AV55" s="265">
        <f t="shared" si="173" ref="AV55:AW57">AV43+AV47+AV51</f>
        <v>-152.37099999999998</v>
      </c>
      <c r="AW55" s="265">
        <f t="shared" si="173"/>
        <v>-291.89</v>
      </c>
      <c r="AX55" s="265">
        <f t="shared" si="165"/>
        <v>-19.126999999999999</v>
      </c>
      <c r="AY55" s="265">
        <f t="shared" si="165"/>
        <v>-182.13200000000001</v>
      </c>
      <c r="AZ55" s="993">
        <f>AZ43+AZ47+AZ51</f>
        <v>-638.01</v>
      </c>
      <c r="BA55" s="265">
        <f t="shared" si="166"/>
        <v>-104.54900000000001</v>
      </c>
      <c r="BB55" s="265">
        <f t="shared" si="166"/>
        <v>-60.194000000000017</v>
      </c>
      <c r="BC55" s="265">
        <f t="shared" si="167"/>
        <v>152.40299999999999</v>
      </c>
      <c r="BD55" s="265">
        <f t="shared" si="167"/>
        <v>-135.85499999999999</v>
      </c>
      <c r="BE55" s="993">
        <f t="shared" si="167"/>
        <v>-147.55000000000001</v>
      </c>
      <c r="BF55" s="265">
        <f t="shared" si="168"/>
        <v>-88.06</v>
      </c>
      <c r="BG55" s="265">
        <f t="shared" si="168"/>
        <v>-227.54900000000001</v>
      </c>
      <c r="BH55" s="745">
        <f>BH43+BH47+BH51</f>
        <v>-123.75999999999999</v>
      </c>
      <c r="BI55" s="210">
        <f t="shared" si="167"/>
        <v>0</v>
      </c>
      <c r="BJ55" s="994">
        <f t="shared" si="169"/>
        <v>-439.36900000000003</v>
      </c>
      <c r="BK55" s="210">
        <f t="shared" si="170"/>
        <v>0</v>
      </c>
      <c r="BL55" s="210">
        <f t="shared" si="170"/>
        <v>0</v>
      </c>
      <c r="BM55" s="210">
        <f t="shared" si="170"/>
        <v>0</v>
      </c>
      <c r="BN55" s="210">
        <f t="shared" si="170"/>
        <v>0</v>
      </c>
      <c r="BO55" s="994">
        <f t="shared" si="170"/>
        <v>0</v>
      </c>
      <c r="BP55" s="994">
        <f t="shared" si="170"/>
        <v>0</v>
      </c>
      <c r="BQ55" s="994">
        <f t="shared" si="170"/>
        <v>0</v>
      </c>
      <c r="BR55" s="994">
        <f t="shared" si="170"/>
        <v>0</v>
      </c>
      <c r="BS55" s="833"/>
    </row>
    <row r="56" spans="1:71" s="24" customFormat="1" ht="15">
      <c r="A56" s="179" t="s">
        <v>557</v>
      </c>
      <c r="B56" s="446"/>
      <c r="C56" s="995">
        <f t="shared" si="163"/>
        <v>456.38400000000001</v>
      </c>
      <c r="D56" s="995">
        <f t="shared" si="163"/>
        <v>1116.2829999999999</v>
      </c>
      <c r="E56" s="995">
        <f t="shared" si="163"/>
        <v>2560.8319999999999</v>
      </c>
      <c r="F56" s="995">
        <f t="shared" si="163"/>
        <v>1867.9670000000001</v>
      </c>
      <c r="G56" s="995">
        <f t="shared" si="163"/>
        <v>590.24</v>
      </c>
      <c r="H56" s="186">
        <f t="shared" si="163"/>
        <v>151.59199999999998</v>
      </c>
      <c r="I56" s="186">
        <f t="shared" si="163"/>
        <v>434.07299999999998</v>
      </c>
      <c r="J56" s="186">
        <f t="shared" si="163"/>
        <v>84.282000000000011</v>
      </c>
      <c r="K56" s="186">
        <f t="shared" si="163"/>
        <v>37.823999999999998</v>
      </c>
      <c r="L56" s="995">
        <f t="shared" si="163"/>
        <v>703.90300000000002</v>
      </c>
      <c r="M56" s="186">
        <f t="shared" si="163"/>
        <v>159.98400000000001</v>
      </c>
      <c r="N56" s="186">
        <f t="shared" si="163"/>
        <v>217.709</v>
      </c>
      <c r="O56" s="186">
        <f t="shared" si="163"/>
        <v>86.722000000000008</v>
      </c>
      <c r="P56" s="186">
        <f t="shared" si="163"/>
        <v>44.783999999999999</v>
      </c>
      <c r="Q56" s="995">
        <f t="shared" si="163"/>
        <v>512.67499999999995</v>
      </c>
      <c r="R56" s="186">
        <f t="shared" si="163"/>
        <v>316.61400000000003</v>
      </c>
      <c r="S56" s="186">
        <f t="shared" si="163"/>
        <v>329.24900000000002</v>
      </c>
      <c r="T56" s="186">
        <f t="shared" si="163"/>
        <v>87.417000000000002</v>
      </c>
      <c r="U56" s="186">
        <f t="shared" si="163"/>
        <v>136.245</v>
      </c>
      <c r="V56" s="995">
        <f t="shared" si="163"/>
        <v>890.38100000000009</v>
      </c>
      <c r="W56" s="186">
        <f t="shared" si="163"/>
        <v>346.35900000000004</v>
      </c>
      <c r="X56" s="186">
        <f t="shared" si="163"/>
        <v>404.97399999999999</v>
      </c>
      <c r="Y56" s="186">
        <f t="shared" si="163"/>
        <v>700.20299999999997</v>
      </c>
      <c r="Z56" s="186">
        <f t="shared" si="163"/>
        <v>496.70399999999995</v>
      </c>
      <c r="AA56" s="995">
        <f t="shared" si="163"/>
        <v>1935.5910000000001</v>
      </c>
      <c r="AB56" s="186">
        <f t="shared" si="163"/>
        <v>353.98199999999997</v>
      </c>
      <c r="AC56" s="186">
        <f t="shared" si="163"/>
        <v>486.27799999999996</v>
      </c>
      <c r="AD56" s="186">
        <f t="shared" si="163"/>
        <v>265.77099999999996</v>
      </c>
      <c r="AE56" s="186">
        <f t="shared" si="163"/>
        <v>609.105</v>
      </c>
      <c r="AF56" s="995">
        <f t="shared" si="163"/>
        <v>1723.4069999999997</v>
      </c>
      <c r="AG56" s="186">
        <f t="shared" si="163"/>
        <v>191.846</v>
      </c>
      <c r="AH56" s="186">
        <f t="shared" si="163"/>
        <v>369.43299999999999</v>
      </c>
      <c r="AI56" s="186">
        <f t="shared" si="163"/>
        <v>242.03399999999999</v>
      </c>
      <c r="AJ56" s="186">
        <f t="shared" si="163"/>
        <v>86.835999999999984</v>
      </c>
      <c r="AK56" s="995">
        <f t="shared" si="163"/>
        <v>880.41000000000008</v>
      </c>
      <c r="AL56" s="186">
        <f t="shared" si="163"/>
        <v>329.43400000000003</v>
      </c>
      <c r="AM56" s="186">
        <f t="shared" si="163"/>
        <v>854.18700000000001</v>
      </c>
      <c r="AN56" s="186">
        <f t="shared" si="163"/>
        <v>393.87400000000002</v>
      </c>
      <c r="AO56" s="186">
        <f t="shared" si="163"/>
        <v>29.563999999999993</v>
      </c>
      <c r="AP56" s="995">
        <f t="shared" si="163"/>
        <v>1615.2159999999999</v>
      </c>
      <c r="AQ56" s="186">
        <f t="shared" si="163"/>
        <v>835.452</v>
      </c>
      <c r="AR56" s="186">
        <f t="shared" si="171"/>
        <v>477.06399999999996</v>
      </c>
      <c r="AS56" s="186">
        <f t="shared" si="172"/>
        <v>502.55</v>
      </c>
      <c r="AT56" s="186">
        <f t="shared" si="172"/>
        <v>40.803999999999995</v>
      </c>
      <c r="AU56" s="995">
        <f t="shared" si="172"/>
        <v>1861.7829999999999</v>
      </c>
      <c r="AV56" s="186">
        <f t="shared" si="173"/>
        <v>159.36699999999999</v>
      </c>
      <c r="AW56" s="186">
        <f t="shared" si="173"/>
        <v>746.30</v>
      </c>
      <c r="AX56" s="186">
        <f t="shared" si="165"/>
        <v>509.03800000000001</v>
      </c>
      <c r="AY56" s="186">
        <f t="shared" si="165"/>
        <v>458.32600000000002</v>
      </c>
      <c r="AZ56" s="995">
        <f t="shared" si="165"/>
        <v>1866.0360000000001</v>
      </c>
      <c r="BA56" s="186">
        <f t="shared" si="166"/>
        <v>531.42599999999993</v>
      </c>
      <c r="BB56" s="186">
        <f t="shared" si="166"/>
        <v>1481.0439999999999</v>
      </c>
      <c r="BC56" s="186">
        <f t="shared" si="167"/>
        <v>851.74200000000008</v>
      </c>
      <c r="BD56" s="186">
        <f t="shared" si="167"/>
        <v>125.58</v>
      </c>
      <c r="BE56" s="995">
        <f t="shared" si="167"/>
        <v>2969.3839999999996</v>
      </c>
      <c r="BF56" s="186">
        <f t="shared" si="168"/>
        <v>713.58</v>
      </c>
      <c r="BG56" s="186">
        <f t="shared" si="168"/>
        <v>1509.529</v>
      </c>
      <c r="BH56" s="746">
        <f>BH44+BH48+BH52</f>
        <v>938.58499999999992</v>
      </c>
      <c r="BI56" s="205">
        <f t="shared" si="167"/>
        <v>481.395489828</v>
      </c>
      <c r="BJ56" s="996">
        <f t="shared" si="169"/>
        <v>3643.0894898280003</v>
      </c>
      <c r="BK56" s="205">
        <f t="shared" si="170"/>
        <v>489.91407129600009</v>
      </c>
      <c r="BL56" s="205">
        <f t="shared" si="170"/>
        <v>554.47162943700005</v>
      </c>
      <c r="BM56" s="205">
        <f t="shared" si="170"/>
        <v>574.59868471499999</v>
      </c>
      <c r="BN56" s="205">
        <f t="shared" si="170"/>
        <v>505.58913761928005</v>
      </c>
      <c r="BO56" s="996">
        <f t="shared" si="170"/>
        <v>2124.5735230672799</v>
      </c>
      <c r="BP56" s="996">
        <f t="shared" si="170"/>
        <v>2161.8204281161557</v>
      </c>
      <c r="BQ56" s="996">
        <f t="shared" si="170"/>
        <v>2261.0525405152912</v>
      </c>
      <c r="BR56" s="996">
        <f t="shared" si="170"/>
        <v>2365.7751247558213</v>
      </c>
      <c r="BS56" s="833"/>
    </row>
    <row r="57" spans="1:71" s="181" customFormat="1" ht="15">
      <c r="A57" s="376" t="s">
        <v>47</v>
      </c>
      <c r="B57" s="451"/>
      <c r="C57" s="1008">
        <f t="shared" si="174" ref="C57:AH57">C45+C49+C53</f>
        <v>12408</v>
      </c>
      <c r="D57" s="1008">
        <f t="shared" si="174"/>
        <v>13210</v>
      </c>
      <c r="E57" s="1008">
        <f t="shared" si="174"/>
        <v>16276</v>
      </c>
      <c r="F57" s="1008">
        <f t="shared" si="174"/>
        <v>14676</v>
      </c>
      <c r="G57" s="1008">
        <f t="shared" si="174"/>
        <v>13307</v>
      </c>
      <c r="H57" s="185">
        <f t="shared" si="174"/>
        <v>3315</v>
      </c>
      <c r="I57" s="185">
        <f t="shared" si="174"/>
        <v>3826</v>
      </c>
      <c r="J57" s="185">
        <f t="shared" si="174"/>
        <v>3520</v>
      </c>
      <c r="K57" s="185">
        <f t="shared" si="174"/>
        <v>3209</v>
      </c>
      <c r="L57" s="1008">
        <f t="shared" si="174"/>
        <v>13870</v>
      </c>
      <c r="M57" s="185">
        <f t="shared" si="174"/>
        <v>3431</v>
      </c>
      <c r="N57" s="185">
        <f t="shared" si="174"/>
        <v>3547</v>
      </c>
      <c r="O57" s="185">
        <f t="shared" si="174"/>
        <v>3382</v>
      </c>
      <c r="P57" s="185">
        <f t="shared" si="174"/>
        <v>3363</v>
      </c>
      <c r="Q57" s="1008">
        <f t="shared" si="174"/>
        <v>13723</v>
      </c>
      <c r="R57" s="185">
        <f t="shared" si="174"/>
        <v>3712</v>
      </c>
      <c r="S57" s="185">
        <f t="shared" si="174"/>
        <v>3762</v>
      </c>
      <c r="T57" s="185">
        <f t="shared" si="174"/>
        <v>3856</v>
      </c>
      <c r="U57" s="185">
        <f t="shared" si="174"/>
        <v>3740</v>
      </c>
      <c r="V57" s="1008">
        <f t="shared" si="174"/>
        <v>15070</v>
      </c>
      <c r="W57" s="185">
        <f t="shared" si="174"/>
        <v>4094</v>
      </c>
      <c r="X57" s="185">
        <f t="shared" si="174"/>
        <v>4225</v>
      </c>
      <c r="Y57" s="185">
        <f t="shared" si="174"/>
        <v>4806</v>
      </c>
      <c r="Z57" s="185">
        <f t="shared" si="174"/>
        <v>4342</v>
      </c>
      <c r="AA57" s="1008">
        <f t="shared" si="174"/>
        <v>17467</v>
      </c>
      <c r="AB57" s="185">
        <f t="shared" si="174"/>
        <v>4296</v>
      </c>
      <c r="AC57" s="185">
        <f t="shared" si="174"/>
        <v>4562</v>
      </c>
      <c r="AD57" s="185">
        <f t="shared" si="174"/>
        <v>4655</v>
      </c>
      <c r="AE57" s="185">
        <f t="shared" si="174"/>
        <v>4778</v>
      </c>
      <c r="AF57" s="1008">
        <f t="shared" si="174"/>
        <v>18291</v>
      </c>
      <c r="AG57" s="185">
        <f t="shared" si="174"/>
        <v>4442</v>
      </c>
      <c r="AH57" s="185">
        <f t="shared" si="174"/>
        <v>4821</v>
      </c>
      <c r="AI57" s="185">
        <f t="shared" si="175" ref="AI57:AR57">AI45+AI49+AI53</f>
        <v>5230</v>
      </c>
      <c r="AJ57" s="185">
        <f t="shared" si="175"/>
        <v>4640</v>
      </c>
      <c r="AK57" s="1008">
        <f t="shared" si="175"/>
        <v>19133</v>
      </c>
      <c r="AL57" s="185">
        <f t="shared" si="175"/>
        <v>4789</v>
      </c>
      <c r="AM57" s="185">
        <f t="shared" si="175"/>
        <v>5107</v>
      </c>
      <c r="AN57" s="185">
        <f t="shared" si="175"/>
        <v>4886</v>
      </c>
      <c r="AO57" s="185">
        <f t="shared" si="175"/>
        <v>4341</v>
      </c>
      <c r="AP57" s="1008">
        <f t="shared" si="175"/>
        <v>19123</v>
      </c>
      <c r="AQ57" s="185">
        <f t="shared" si="175"/>
        <v>4970</v>
      </c>
      <c r="AR57" s="185">
        <f t="shared" si="175"/>
        <v>5045</v>
      </c>
      <c r="AS57" s="185">
        <f t="shared" si="172"/>
        <v>5464</v>
      </c>
      <c r="AT57" s="185">
        <f t="shared" si="172"/>
        <v>4819</v>
      </c>
      <c r="AU57" s="1008">
        <f t="shared" si="172"/>
        <v>20298</v>
      </c>
      <c r="AV57" s="185">
        <f t="shared" si="173"/>
        <v>5039</v>
      </c>
      <c r="AW57" s="185">
        <f t="shared" si="173"/>
        <v>5803</v>
      </c>
      <c r="AX57" s="185">
        <f t="shared" si="165"/>
        <v>6088</v>
      </c>
      <c r="AY57" s="185">
        <f t="shared" si="165"/>
        <v>5924</v>
      </c>
      <c r="AZ57" s="1008">
        <f>AZ45+AZ49+AZ53</f>
        <v>22854</v>
      </c>
      <c r="BA57" s="185">
        <f t="shared" si="166"/>
        <v>5959</v>
      </c>
      <c r="BB57" s="185">
        <f t="shared" si="166"/>
        <v>7227</v>
      </c>
      <c r="BC57" s="185">
        <f t="shared" si="167"/>
        <v>7149</v>
      </c>
      <c r="BD57" s="185">
        <f t="shared" si="167"/>
        <v>5880</v>
      </c>
      <c r="BE57" s="1008">
        <f t="shared" si="167"/>
        <v>26215</v>
      </c>
      <c r="BF57" s="185">
        <f t="shared" si="168"/>
        <v>6656</v>
      </c>
      <c r="BG57" s="185">
        <f t="shared" si="168"/>
        <v>7373</v>
      </c>
      <c r="BH57" s="749">
        <f>BH45+BH49+BH53</f>
        <v>6996</v>
      </c>
      <c r="BI57" s="199">
        <f t="shared" si="167"/>
        <v>6446.8624150480009</v>
      </c>
      <c r="BJ57" s="1009">
        <f t="shared" si="169"/>
        <v>27471.862415047999</v>
      </c>
      <c r="BK57" s="199">
        <f t="shared" si="170"/>
        <v>6864.1226608760007</v>
      </c>
      <c r="BL57" s="199">
        <f t="shared" si="170"/>
        <v>7686.9697183070002</v>
      </c>
      <c r="BM57" s="199">
        <f t="shared" si="170"/>
        <v>7700.0018218750001</v>
      </c>
      <c r="BN57" s="199">
        <f t="shared" si="170"/>
        <v>6717.9122313938806</v>
      </c>
      <c r="BO57" s="1009">
        <f t="shared" si="170"/>
        <v>28969.006432451883</v>
      </c>
      <c r="BP57" s="1009">
        <f t="shared" si="170"/>
        <v>29263.263061557045</v>
      </c>
      <c r="BQ57" s="1009">
        <f t="shared" si="170"/>
        <v>29845.172860943087</v>
      </c>
      <c r="BR57" s="1009">
        <f t="shared" si="170"/>
        <v>31411.718779110251</v>
      </c>
      <c r="BS57" s="423"/>
    </row>
    <row r="58" spans="1:71" s="181" customFormat="1" ht="15">
      <c r="A58" s="452"/>
      <c r="B58" s="451"/>
      <c r="C58" s="1009"/>
      <c r="D58" s="1009"/>
      <c r="E58" s="1009"/>
      <c r="F58" s="1009"/>
      <c r="G58" s="1009"/>
      <c r="H58" s="199"/>
      <c r="I58" s="199"/>
      <c r="J58" s="199"/>
      <c r="K58" s="199"/>
      <c r="L58" s="1009"/>
      <c r="M58" s="199"/>
      <c r="N58" s="199"/>
      <c r="O58" s="199"/>
      <c r="P58" s="199"/>
      <c r="Q58" s="1009"/>
      <c r="R58" s="199"/>
      <c r="S58" s="199"/>
      <c r="T58" s="199"/>
      <c r="U58" s="199"/>
      <c r="V58" s="1009"/>
      <c r="W58" s="199"/>
      <c r="X58" s="199"/>
      <c r="Y58" s="199"/>
      <c r="Z58" s="199"/>
      <c r="AA58" s="1009"/>
      <c r="AB58" s="199"/>
      <c r="AC58" s="199"/>
      <c r="AD58" s="199"/>
      <c r="AE58" s="199"/>
      <c r="AF58" s="1009"/>
      <c r="AG58" s="199"/>
      <c r="AH58" s="199"/>
      <c r="AI58" s="199"/>
      <c r="AJ58" s="199"/>
      <c r="AK58" s="1009"/>
      <c r="AL58" s="199"/>
      <c r="AM58" s="199"/>
      <c r="AN58" s="199"/>
      <c r="AO58" s="199"/>
      <c r="AP58" s="1009"/>
      <c r="AQ58" s="199"/>
      <c r="AR58" s="199"/>
      <c r="AS58" s="199"/>
      <c r="AT58" s="199"/>
      <c r="AU58" s="1009"/>
      <c r="AV58" s="199"/>
      <c r="AW58" s="199"/>
      <c r="AX58" s="199"/>
      <c r="AY58" s="199"/>
      <c r="AZ58" s="1009"/>
      <c r="BA58" s="199"/>
      <c r="BB58" s="199"/>
      <c r="BC58" s="199"/>
      <c r="BD58" s="199"/>
      <c r="BE58" s="1009"/>
      <c r="BF58" s="199"/>
      <c r="BG58" s="199"/>
      <c r="BH58" s="554"/>
      <c r="BI58" s="199"/>
      <c r="BJ58" s="1009"/>
      <c r="BK58" s="199"/>
      <c r="BL58" s="199"/>
      <c r="BM58" s="199"/>
      <c r="BN58" s="199"/>
      <c r="BO58" s="1009"/>
      <c r="BP58" s="1009"/>
      <c r="BQ58" s="1009"/>
      <c r="BR58" s="1009"/>
      <c r="BS58" s="423"/>
    </row>
    <row r="59" spans="1:71" s="24" customFormat="1" ht="15">
      <c r="A59" s="184" t="s">
        <v>511</v>
      </c>
      <c r="B59" s="445"/>
      <c r="C59" s="993">
        <f t="shared" si="176" ref="C59:AM59">C180</f>
        <v>1775</v>
      </c>
      <c r="D59" s="993">
        <f t="shared" si="176"/>
        <v>1749</v>
      </c>
      <c r="E59" s="993">
        <f t="shared" si="176"/>
        <v>1815</v>
      </c>
      <c r="F59" s="993">
        <f t="shared" si="176"/>
        <v>1884</v>
      </c>
      <c r="G59" s="993">
        <f t="shared" si="176"/>
        <v>2158</v>
      </c>
      <c r="H59" s="265">
        <f t="shared" si="176"/>
        <v>565</v>
      </c>
      <c r="I59" s="265">
        <f t="shared" si="176"/>
        <v>580</v>
      </c>
      <c r="J59" s="265">
        <f t="shared" si="176"/>
        <v>589</v>
      </c>
      <c r="K59" s="265">
        <f t="shared" si="176"/>
        <v>587</v>
      </c>
      <c r="L59" s="993">
        <f t="shared" si="176"/>
        <v>2321</v>
      </c>
      <c r="M59" s="265">
        <f t="shared" si="176"/>
        <v>584</v>
      </c>
      <c r="N59" s="265">
        <f t="shared" si="176"/>
        <v>578</v>
      </c>
      <c r="O59" s="265">
        <f t="shared" si="176"/>
        <v>589</v>
      </c>
      <c r="P59" s="265">
        <f t="shared" si="176"/>
        <v>578</v>
      </c>
      <c r="Q59" s="993">
        <f t="shared" si="176"/>
        <v>2329</v>
      </c>
      <c r="R59" s="265">
        <f t="shared" si="176"/>
        <v>546</v>
      </c>
      <c r="S59" s="265">
        <f t="shared" si="176"/>
        <v>553</v>
      </c>
      <c r="T59" s="265">
        <f t="shared" si="176"/>
        <v>563</v>
      </c>
      <c r="U59" s="265">
        <f t="shared" si="176"/>
        <v>559</v>
      </c>
      <c r="V59" s="993">
        <f t="shared" si="176"/>
        <v>2221</v>
      </c>
      <c r="W59" s="265">
        <f t="shared" si="176"/>
        <v>554</v>
      </c>
      <c r="X59" s="265">
        <f t="shared" si="176"/>
        <v>567</v>
      </c>
      <c r="Y59" s="265">
        <f t="shared" si="176"/>
        <v>579</v>
      </c>
      <c r="Z59" s="265">
        <f t="shared" si="176"/>
        <v>586</v>
      </c>
      <c r="AA59" s="993">
        <f t="shared" si="176"/>
        <v>2286</v>
      </c>
      <c r="AB59" s="265">
        <f t="shared" si="176"/>
        <v>580</v>
      </c>
      <c r="AC59" s="265">
        <f t="shared" si="176"/>
        <v>588</v>
      </c>
      <c r="AD59" s="265">
        <f t="shared" si="176"/>
        <v>610</v>
      </c>
      <c r="AE59" s="265">
        <f t="shared" si="176"/>
        <v>610</v>
      </c>
      <c r="AF59" s="993">
        <f t="shared" si="176"/>
        <v>2388</v>
      </c>
      <c r="AG59" s="265">
        <f t="shared" si="176"/>
        <v>615</v>
      </c>
      <c r="AH59" s="265">
        <f t="shared" si="176"/>
        <v>618</v>
      </c>
      <c r="AI59" s="265">
        <f t="shared" si="176"/>
        <v>634</v>
      </c>
      <c r="AJ59" s="265">
        <f t="shared" si="176"/>
        <v>636</v>
      </c>
      <c r="AK59" s="993">
        <f t="shared" si="176"/>
        <v>2503</v>
      </c>
      <c r="AL59" s="265">
        <f t="shared" si="176"/>
        <v>636</v>
      </c>
      <c r="AM59" s="265">
        <f t="shared" si="176"/>
        <v>622</v>
      </c>
      <c r="AN59" s="265">
        <f>AN180</f>
        <v>633</v>
      </c>
      <c r="AO59" s="265">
        <f t="shared" si="177" ref="AO59:AQ59">AO180</f>
        <v>627</v>
      </c>
      <c r="AP59" s="993">
        <f t="shared" si="177"/>
        <v>2518</v>
      </c>
      <c r="AQ59" s="265">
        <f t="shared" si="177"/>
        <v>627</v>
      </c>
      <c r="AR59" s="265">
        <f t="shared" si="178" ref="AR59:AW59">AR180</f>
        <v>642</v>
      </c>
      <c r="AS59" s="265">
        <f t="shared" si="178"/>
        <v>653</v>
      </c>
      <c r="AT59" s="265">
        <f t="shared" si="178"/>
        <v>659</v>
      </c>
      <c r="AU59" s="993">
        <f t="shared" si="178"/>
        <v>2581</v>
      </c>
      <c r="AV59" s="265">
        <f t="shared" si="178"/>
        <v>668</v>
      </c>
      <c r="AW59" s="265">
        <f t="shared" si="178"/>
        <v>691</v>
      </c>
      <c r="AX59" s="265">
        <f t="shared" si="179" ref="AX59:BC59">AX180</f>
        <v>708</v>
      </c>
      <c r="AY59" s="265">
        <f t="shared" si="179"/>
        <v>721</v>
      </c>
      <c r="AZ59" s="993">
        <f t="shared" si="179"/>
        <v>2788</v>
      </c>
      <c r="BA59" s="265">
        <f t="shared" si="179"/>
        <v>742</v>
      </c>
      <c r="BB59" s="265">
        <f t="shared" si="179"/>
        <v>773</v>
      </c>
      <c r="BC59" s="265">
        <f t="shared" si="179"/>
        <v>820</v>
      </c>
      <c r="BD59" s="265">
        <f>BD180</f>
        <v>838</v>
      </c>
      <c r="BE59" s="993">
        <f>BE180</f>
        <v>3173</v>
      </c>
      <c r="BF59" s="265">
        <f>BF180</f>
        <v>864</v>
      </c>
      <c r="BG59" s="265">
        <f>BG180</f>
        <v>861</v>
      </c>
      <c r="BH59" s="745">
        <f>BH180</f>
        <v>930</v>
      </c>
      <c r="BI59" s="210">
        <f t="shared" si="180" ref="BI59:BI61">BI36*BI109</f>
        <v>818.43895583999995</v>
      </c>
      <c r="BJ59" s="994">
        <f>SUM(BF59,BG59,BH59,BI59)</f>
        <v>3473.4389558399998</v>
      </c>
      <c r="BK59" s="210">
        <f t="shared" si="181" ref="BK59:BN61">BK36*BK109</f>
        <v>982.68639050400009</v>
      </c>
      <c r="BL59" s="210">
        <f t="shared" si="181"/>
        <v>959.4315288360001</v>
      </c>
      <c r="BM59" s="210">
        <f t="shared" si="181"/>
        <v>960.0536274120002</v>
      </c>
      <c r="BN59" s="210">
        <f t="shared" si="181"/>
        <v>842.99212451519998</v>
      </c>
      <c r="BO59" s="994">
        <f>SUM(BK59,BL59,BM59,BN59)</f>
        <v>3745.1636712672007</v>
      </c>
      <c r="BP59" s="994">
        <f t="shared" si="182" ref="BP59:BR61">BP36*BP109</f>
        <v>3627.0222190077948</v>
      </c>
      <c r="BQ59" s="994">
        <f t="shared" si="182"/>
        <v>3635.9778294250973</v>
      </c>
      <c r="BR59" s="994">
        <f t="shared" si="182"/>
        <v>3736.6489655773048</v>
      </c>
      <c r="BS59" s="833"/>
    </row>
    <row r="60" spans="1:71" s="24" customFormat="1" ht="15">
      <c r="A60" s="184" t="s">
        <v>512</v>
      </c>
      <c r="B60" s="445"/>
      <c r="C60" s="993">
        <f t="shared" si="183" ref="C60:AM60">C238</f>
        <v>622</v>
      </c>
      <c r="D60" s="993">
        <f t="shared" si="183"/>
        <v>612</v>
      </c>
      <c r="E60" s="993">
        <f t="shared" si="183"/>
        <v>603</v>
      </c>
      <c r="F60" s="993">
        <f t="shared" si="183"/>
        <v>589</v>
      </c>
      <c r="G60" s="993">
        <f t="shared" si="183"/>
        <v>378</v>
      </c>
      <c r="H60" s="265">
        <f t="shared" si="183"/>
        <v>93</v>
      </c>
      <c r="I60" s="265">
        <f t="shared" si="183"/>
        <v>95</v>
      </c>
      <c r="J60" s="265">
        <f t="shared" si="183"/>
        <v>101</v>
      </c>
      <c r="K60" s="265">
        <f t="shared" si="183"/>
        <v>99</v>
      </c>
      <c r="L60" s="993">
        <f t="shared" si="183"/>
        <v>388</v>
      </c>
      <c r="M60" s="265">
        <f t="shared" si="183"/>
        <v>94</v>
      </c>
      <c r="N60" s="265">
        <f t="shared" si="183"/>
        <v>97</v>
      </c>
      <c r="O60" s="265">
        <f t="shared" si="183"/>
        <v>104</v>
      </c>
      <c r="P60" s="265">
        <f t="shared" si="183"/>
        <v>98</v>
      </c>
      <c r="Q60" s="993">
        <f t="shared" si="183"/>
        <v>393</v>
      </c>
      <c r="R60" s="265">
        <f t="shared" si="183"/>
        <v>102</v>
      </c>
      <c r="S60" s="265">
        <f t="shared" si="183"/>
        <v>104</v>
      </c>
      <c r="T60" s="265">
        <f t="shared" si="183"/>
        <v>109</v>
      </c>
      <c r="U60" s="265">
        <f t="shared" si="183"/>
        <v>106</v>
      </c>
      <c r="V60" s="993">
        <f t="shared" si="183"/>
        <v>421</v>
      </c>
      <c r="W60" s="265">
        <f t="shared" si="183"/>
        <v>103</v>
      </c>
      <c r="X60" s="265">
        <f t="shared" si="183"/>
        <v>108</v>
      </c>
      <c r="Y60" s="265">
        <f t="shared" si="183"/>
        <v>111</v>
      </c>
      <c r="Z60" s="265">
        <f t="shared" si="183"/>
        <v>110</v>
      </c>
      <c r="AA60" s="993">
        <f t="shared" si="183"/>
        <v>432</v>
      </c>
      <c r="AB60" s="265">
        <f t="shared" si="183"/>
        <v>107</v>
      </c>
      <c r="AC60" s="265">
        <f t="shared" si="183"/>
        <v>113</v>
      </c>
      <c r="AD60" s="265">
        <f t="shared" si="183"/>
        <v>117</v>
      </c>
      <c r="AE60" s="265">
        <f t="shared" si="183"/>
        <v>117</v>
      </c>
      <c r="AF60" s="993">
        <f t="shared" si="183"/>
        <v>454</v>
      </c>
      <c r="AG60" s="265">
        <f t="shared" si="183"/>
        <v>112</v>
      </c>
      <c r="AH60" s="265">
        <f t="shared" si="183"/>
        <v>118</v>
      </c>
      <c r="AI60" s="265">
        <f t="shared" si="183"/>
        <v>123</v>
      </c>
      <c r="AJ60" s="265">
        <f t="shared" si="183"/>
        <v>125</v>
      </c>
      <c r="AK60" s="993">
        <f t="shared" si="183"/>
        <v>478</v>
      </c>
      <c r="AL60" s="265">
        <f t="shared" si="183"/>
        <v>124</v>
      </c>
      <c r="AM60" s="265">
        <f t="shared" si="183"/>
        <v>128</v>
      </c>
      <c r="AN60" s="265">
        <f>AN238</f>
        <v>133</v>
      </c>
      <c r="AO60" s="265">
        <f t="shared" si="184" ref="AO60:AQ60">AO238</f>
        <v>134</v>
      </c>
      <c r="AP60" s="993">
        <f t="shared" si="184"/>
        <v>519</v>
      </c>
      <c r="AQ60" s="265">
        <f t="shared" si="184"/>
        <v>134</v>
      </c>
      <c r="AR60" s="265">
        <f t="shared" si="185" ref="AR60:AW60">AR238</f>
        <v>142</v>
      </c>
      <c r="AS60" s="265">
        <f t="shared" si="185"/>
        <v>147</v>
      </c>
      <c r="AT60" s="265">
        <f t="shared" si="185"/>
        <v>147</v>
      </c>
      <c r="AU60" s="993">
        <f t="shared" si="185"/>
        <v>570</v>
      </c>
      <c r="AV60" s="265">
        <f t="shared" si="185"/>
        <v>149</v>
      </c>
      <c r="AW60" s="265">
        <f t="shared" si="185"/>
        <v>155</v>
      </c>
      <c r="AX60" s="265">
        <f t="shared" si="186" ref="AX60:BC60">AX238</f>
        <v>162</v>
      </c>
      <c r="AY60" s="265">
        <f t="shared" si="186"/>
        <v>159</v>
      </c>
      <c r="AZ60" s="993">
        <f t="shared" si="186"/>
        <v>625</v>
      </c>
      <c r="BA60" s="265">
        <f t="shared" si="186"/>
        <v>160</v>
      </c>
      <c r="BB60" s="265">
        <f t="shared" si="186"/>
        <v>168</v>
      </c>
      <c r="BC60" s="265">
        <f t="shared" si="186"/>
        <v>173</v>
      </c>
      <c r="BD60" s="265">
        <f>BD238</f>
        <v>172</v>
      </c>
      <c r="BE60" s="993">
        <f>BE238</f>
        <v>673</v>
      </c>
      <c r="BF60" s="265">
        <f>BF238</f>
        <v>182</v>
      </c>
      <c r="BG60" s="265">
        <f>BG238</f>
        <v>183</v>
      </c>
      <c r="BH60" s="745">
        <f>BH238</f>
        <v>194</v>
      </c>
      <c r="BI60" s="210">
        <f t="shared" si="180"/>
        <v>172.72494359999999</v>
      </c>
      <c r="BJ60" s="994">
        <f>SUM(BF60,BG60,BH60,BI60)</f>
        <v>731.72494359999996</v>
      </c>
      <c r="BK60" s="210">
        <f t="shared" si="181"/>
        <v>182.15058360399999</v>
      </c>
      <c r="BL60" s="210">
        <f t="shared" si="181"/>
        <v>190.78411498299999</v>
      </c>
      <c r="BM60" s="210">
        <f t="shared" si="181"/>
        <v>197.21694228499999</v>
      </c>
      <c r="BN60" s="210">
        <f t="shared" si="181"/>
        <v>177.906691908</v>
      </c>
      <c r="BO60" s="994">
        <f>SUM(BK60,BL60,BM60,BN60)</f>
        <v>748.05833277999989</v>
      </c>
      <c r="BP60" s="994">
        <f t="shared" si="182"/>
        <v>776.77839909384033</v>
      </c>
      <c r="BQ60" s="994">
        <f t="shared" si="182"/>
        <v>742.34822140427548</v>
      </c>
      <c r="BR60" s="994">
        <f t="shared" si="182"/>
        <v>840.16351645989766</v>
      </c>
      <c r="BS60" s="833"/>
    </row>
    <row r="61" spans="1:71" s="24" customFormat="1" ht="15">
      <c r="A61" s="179" t="s">
        <v>513</v>
      </c>
      <c r="B61" s="446"/>
      <c r="C61" s="995">
        <f t="shared" si="187" ref="C61:AM61">C289</f>
        <v>1416</v>
      </c>
      <c r="D61" s="995">
        <f t="shared" si="187"/>
        <v>1441</v>
      </c>
      <c r="E61" s="995">
        <f t="shared" si="187"/>
        <v>1458</v>
      </c>
      <c r="F61" s="995">
        <f t="shared" si="187"/>
        <v>1437</v>
      </c>
      <c r="G61" s="995">
        <f t="shared" si="187"/>
        <v>1285</v>
      </c>
      <c r="H61" s="186">
        <f t="shared" si="187"/>
        <v>292</v>
      </c>
      <c r="I61" s="186">
        <f t="shared" si="187"/>
        <v>290</v>
      </c>
      <c r="J61" s="186">
        <f t="shared" si="187"/>
        <v>294</v>
      </c>
      <c r="K61" s="186">
        <f t="shared" si="187"/>
        <v>297</v>
      </c>
      <c r="L61" s="995">
        <f t="shared" si="187"/>
        <v>1173</v>
      </c>
      <c r="M61" s="186">
        <f t="shared" si="187"/>
        <v>285</v>
      </c>
      <c r="N61" s="186">
        <f t="shared" si="187"/>
        <v>288</v>
      </c>
      <c r="O61" s="186">
        <f t="shared" si="187"/>
        <v>294</v>
      </c>
      <c r="P61" s="186">
        <f t="shared" si="187"/>
        <v>296</v>
      </c>
      <c r="Q61" s="995">
        <f t="shared" si="187"/>
        <v>1163</v>
      </c>
      <c r="R61" s="186">
        <f t="shared" si="187"/>
        <v>323</v>
      </c>
      <c r="S61" s="186">
        <f t="shared" si="187"/>
        <v>332</v>
      </c>
      <c r="T61" s="186">
        <f t="shared" si="187"/>
        <v>340</v>
      </c>
      <c r="U61" s="186">
        <f t="shared" si="187"/>
        <v>348</v>
      </c>
      <c r="V61" s="995">
        <f t="shared" si="187"/>
        <v>1343</v>
      </c>
      <c r="W61" s="186">
        <f t="shared" si="187"/>
        <v>346</v>
      </c>
      <c r="X61" s="186">
        <f t="shared" si="187"/>
        <v>357</v>
      </c>
      <c r="Y61" s="186">
        <f t="shared" si="187"/>
        <v>369</v>
      </c>
      <c r="Z61" s="186">
        <f t="shared" si="187"/>
        <v>376</v>
      </c>
      <c r="AA61" s="995">
        <f t="shared" si="187"/>
        <v>1448</v>
      </c>
      <c r="AB61" s="186">
        <f t="shared" si="187"/>
        <v>374</v>
      </c>
      <c r="AC61" s="186">
        <f t="shared" si="187"/>
        <v>380</v>
      </c>
      <c r="AD61" s="186">
        <f t="shared" si="187"/>
        <v>390</v>
      </c>
      <c r="AE61" s="186">
        <f t="shared" si="187"/>
        <v>395</v>
      </c>
      <c r="AF61" s="995">
        <f t="shared" si="187"/>
        <v>1539</v>
      </c>
      <c r="AG61" s="186">
        <f t="shared" si="187"/>
        <v>390</v>
      </c>
      <c r="AH61" s="186">
        <f t="shared" si="187"/>
        <v>398</v>
      </c>
      <c r="AI61" s="186">
        <f t="shared" si="187"/>
        <v>412</v>
      </c>
      <c r="AJ61" s="186">
        <f t="shared" si="187"/>
        <v>420</v>
      </c>
      <c r="AK61" s="995">
        <f t="shared" si="187"/>
        <v>1620</v>
      </c>
      <c r="AL61" s="186">
        <f t="shared" si="187"/>
        <v>418</v>
      </c>
      <c r="AM61" s="186">
        <f t="shared" si="187"/>
        <v>423</v>
      </c>
      <c r="AN61" s="186">
        <f>AN289</f>
        <v>441</v>
      </c>
      <c r="AO61" s="186">
        <f t="shared" si="188" ref="AO61:AQ61">AO289</f>
        <v>454</v>
      </c>
      <c r="AP61" s="995">
        <f t="shared" si="188"/>
        <v>1736</v>
      </c>
      <c r="AQ61" s="186">
        <f t="shared" si="188"/>
        <v>446</v>
      </c>
      <c r="AR61" s="186">
        <f t="shared" si="189" ref="AR61:AW61">AR289</f>
        <v>470</v>
      </c>
      <c r="AS61" s="186">
        <f t="shared" si="189"/>
        <v>481</v>
      </c>
      <c r="AT61" s="186">
        <f t="shared" si="189"/>
        <v>495</v>
      </c>
      <c r="AU61" s="995">
        <f t="shared" si="189"/>
        <v>1892</v>
      </c>
      <c r="AV61" s="186">
        <f t="shared" si="189"/>
        <v>493</v>
      </c>
      <c r="AW61" s="186">
        <f t="shared" si="189"/>
        <v>519</v>
      </c>
      <c r="AX61" s="186">
        <f t="shared" si="190" ref="AX61:BC61">AX289</f>
        <v>536</v>
      </c>
      <c r="AY61" s="186">
        <f t="shared" si="190"/>
        <v>554</v>
      </c>
      <c r="AZ61" s="995">
        <f t="shared" si="190"/>
        <v>2102</v>
      </c>
      <c r="BA61" s="186">
        <f t="shared" si="190"/>
        <v>560</v>
      </c>
      <c r="BB61" s="186">
        <f t="shared" si="190"/>
        <v>578</v>
      </c>
      <c r="BC61" s="186">
        <f t="shared" si="190"/>
        <v>611</v>
      </c>
      <c r="BD61" s="186">
        <f>BD289</f>
        <v>631</v>
      </c>
      <c r="BE61" s="995">
        <f>BE289</f>
        <v>2380</v>
      </c>
      <c r="BF61" s="186">
        <f>BF289</f>
        <v>652</v>
      </c>
      <c r="BG61" s="186">
        <f>BG289</f>
        <v>634</v>
      </c>
      <c r="BH61" s="746">
        <f>BH289</f>
        <v>666</v>
      </c>
      <c r="BI61" s="205">
        <f t="shared" si="180"/>
        <v>617.20146179999995</v>
      </c>
      <c r="BJ61" s="996">
        <f>SUM(BF61,BG61,BH61,BI61)</f>
        <v>2569.2014617999998</v>
      </c>
      <c r="BK61" s="205">
        <f t="shared" si="181"/>
        <v>614.46432768000011</v>
      </c>
      <c r="BL61" s="205">
        <f t="shared" si="181"/>
        <v>751.81030848</v>
      </c>
      <c r="BM61" s="205">
        <f t="shared" si="181"/>
        <v>791.63042111999994</v>
      </c>
      <c r="BN61" s="205">
        <f t="shared" si="181"/>
        <v>654.23354950800012</v>
      </c>
      <c r="BO61" s="996">
        <f>SUM(BK61,BL61,BM61,BN61)</f>
        <v>2812.1386067880003</v>
      </c>
      <c r="BP61" s="996">
        <f t="shared" si="182"/>
        <v>2955.1064806932477</v>
      </c>
      <c r="BQ61" s="996">
        <f t="shared" si="182"/>
        <v>2936.6370651889156</v>
      </c>
      <c r="BR61" s="996">
        <f t="shared" si="182"/>
        <v>3320.3576417069344</v>
      </c>
      <c r="BS61" s="833"/>
    </row>
    <row r="62" spans="1:71" s="181" customFormat="1" ht="15">
      <c r="A62" s="394" t="s">
        <v>500</v>
      </c>
      <c r="B62" s="451"/>
      <c r="C62" s="1008">
        <f t="shared" si="191" ref="C62:AM62">SUM(C59:C61)</f>
        <v>3813</v>
      </c>
      <c r="D62" s="1008">
        <f t="shared" si="191"/>
        <v>3802</v>
      </c>
      <c r="E62" s="1008">
        <f t="shared" si="191"/>
        <v>3876</v>
      </c>
      <c r="F62" s="1008">
        <f t="shared" si="191"/>
        <v>3910</v>
      </c>
      <c r="G62" s="1008">
        <f t="shared" si="191"/>
        <v>3821</v>
      </c>
      <c r="H62" s="185">
        <f t="shared" si="191"/>
        <v>950</v>
      </c>
      <c r="I62" s="185">
        <f t="shared" si="191"/>
        <v>965</v>
      </c>
      <c r="J62" s="185">
        <f t="shared" si="191"/>
        <v>984</v>
      </c>
      <c r="K62" s="185">
        <f t="shared" si="191"/>
        <v>983</v>
      </c>
      <c r="L62" s="1008">
        <f t="shared" si="191"/>
        <v>3882</v>
      </c>
      <c r="M62" s="185">
        <f t="shared" si="191"/>
        <v>963</v>
      </c>
      <c r="N62" s="185">
        <f t="shared" si="191"/>
        <v>963</v>
      </c>
      <c r="O62" s="185">
        <f t="shared" si="191"/>
        <v>987</v>
      </c>
      <c r="P62" s="185">
        <f t="shared" si="191"/>
        <v>972</v>
      </c>
      <c r="Q62" s="1008">
        <f t="shared" si="191"/>
        <v>3885</v>
      </c>
      <c r="R62" s="185">
        <f t="shared" si="191"/>
        <v>971</v>
      </c>
      <c r="S62" s="185">
        <f t="shared" si="191"/>
        <v>989</v>
      </c>
      <c r="T62" s="185">
        <f t="shared" si="191"/>
        <v>1012</v>
      </c>
      <c r="U62" s="185">
        <f t="shared" si="191"/>
        <v>1013</v>
      </c>
      <c r="V62" s="1008">
        <f t="shared" si="191"/>
        <v>3985</v>
      </c>
      <c r="W62" s="185">
        <f t="shared" si="191"/>
        <v>1003</v>
      </c>
      <c r="X62" s="185">
        <f t="shared" si="191"/>
        <v>1032</v>
      </c>
      <c r="Y62" s="185">
        <f t="shared" si="191"/>
        <v>1059</v>
      </c>
      <c r="Z62" s="185">
        <f t="shared" si="191"/>
        <v>1072</v>
      </c>
      <c r="AA62" s="1008">
        <f t="shared" si="191"/>
        <v>4166</v>
      </c>
      <c r="AB62" s="185">
        <f t="shared" si="191"/>
        <v>1061</v>
      </c>
      <c r="AC62" s="185">
        <f t="shared" si="191"/>
        <v>1081</v>
      </c>
      <c r="AD62" s="185">
        <f t="shared" si="191"/>
        <v>1117</v>
      </c>
      <c r="AE62" s="185">
        <f t="shared" si="191"/>
        <v>1122</v>
      </c>
      <c r="AF62" s="1008">
        <f t="shared" si="191"/>
        <v>4381</v>
      </c>
      <c r="AG62" s="185">
        <f t="shared" si="191"/>
        <v>1117</v>
      </c>
      <c r="AH62" s="185">
        <f t="shared" si="191"/>
        <v>1134</v>
      </c>
      <c r="AI62" s="185">
        <f t="shared" si="191"/>
        <v>1169</v>
      </c>
      <c r="AJ62" s="185">
        <f t="shared" si="191"/>
        <v>1181</v>
      </c>
      <c r="AK62" s="1008">
        <f t="shared" si="191"/>
        <v>4601</v>
      </c>
      <c r="AL62" s="185">
        <f t="shared" si="191"/>
        <v>1178</v>
      </c>
      <c r="AM62" s="185">
        <f t="shared" si="191"/>
        <v>1173</v>
      </c>
      <c r="AN62" s="185">
        <f>SUM(AN59:AN61)</f>
        <v>1207</v>
      </c>
      <c r="AO62" s="185">
        <f t="shared" si="192" ref="AO62:AQ62">SUM(AO59:AO61)</f>
        <v>1215</v>
      </c>
      <c r="AP62" s="1008">
        <f t="shared" si="192"/>
        <v>4773</v>
      </c>
      <c r="AQ62" s="185">
        <f t="shared" si="192"/>
        <v>1207</v>
      </c>
      <c r="AR62" s="185">
        <f t="shared" si="193" ref="AR62:AW62">SUM(AR59:AR61)</f>
        <v>1254</v>
      </c>
      <c r="AS62" s="185">
        <f t="shared" si="193"/>
        <v>1281</v>
      </c>
      <c r="AT62" s="185">
        <f t="shared" si="193"/>
        <v>1301</v>
      </c>
      <c r="AU62" s="1008">
        <f t="shared" si="193"/>
        <v>5043</v>
      </c>
      <c r="AV62" s="185">
        <f t="shared" si="193"/>
        <v>1310</v>
      </c>
      <c r="AW62" s="185">
        <f t="shared" si="193"/>
        <v>1365</v>
      </c>
      <c r="AX62" s="185">
        <f t="shared" si="194" ref="AX62:BJ62">SUM(AX59:AX61)</f>
        <v>1406</v>
      </c>
      <c r="AY62" s="185">
        <f t="shared" si="194"/>
        <v>1434</v>
      </c>
      <c r="AZ62" s="1008">
        <f t="shared" si="194"/>
        <v>5515</v>
      </c>
      <c r="BA62" s="185">
        <f t="shared" si="195" ref="BA62:BI62">SUM(BA59:BA61)</f>
        <v>1462</v>
      </c>
      <c r="BB62" s="185">
        <f t="shared" si="195"/>
        <v>1519</v>
      </c>
      <c r="BC62" s="185">
        <f t="shared" si="195"/>
        <v>1604</v>
      </c>
      <c r="BD62" s="185">
        <f t="shared" si="195"/>
        <v>1641</v>
      </c>
      <c r="BE62" s="1008">
        <f t="shared" si="195"/>
        <v>6226</v>
      </c>
      <c r="BF62" s="185">
        <f>SUM(BF59:BF61)</f>
        <v>1698</v>
      </c>
      <c r="BG62" s="185">
        <f>SUM(BG59:BG61)</f>
        <v>1678</v>
      </c>
      <c r="BH62" s="749">
        <f>SUM(BH59:BH61)</f>
        <v>1790</v>
      </c>
      <c r="BI62" s="199">
        <f t="shared" si="195"/>
        <v>1608.3653612399999</v>
      </c>
      <c r="BJ62" s="1009">
        <f t="shared" si="194"/>
        <v>6774.3653612399994</v>
      </c>
      <c r="BK62" s="199">
        <f t="shared" si="196" ref="BK62:BR62">SUM(BK59:BK61)</f>
        <v>1779.3013017880003</v>
      </c>
      <c r="BL62" s="199">
        <f t="shared" si="196"/>
        <v>1902.025952299</v>
      </c>
      <c r="BM62" s="199">
        <f t="shared" si="196"/>
        <v>1948.9009908170001</v>
      </c>
      <c r="BN62" s="199">
        <f t="shared" si="196"/>
        <v>1675.1323659312002</v>
      </c>
      <c r="BO62" s="1009">
        <f t="shared" si="196"/>
        <v>7305.3606108352005</v>
      </c>
      <c r="BP62" s="1009">
        <f t="shared" si="196"/>
        <v>7358.9070987948835</v>
      </c>
      <c r="BQ62" s="1009">
        <f t="shared" si="196"/>
        <v>7314.963116018288</v>
      </c>
      <c r="BR62" s="1009">
        <f t="shared" si="196"/>
        <v>7897.1701237441366</v>
      </c>
      <c r="BS62" s="423"/>
    </row>
    <row r="63" spans="1:71" s="181" customFormat="1" ht="15">
      <c r="A63" s="452"/>
      <c r="B63" s="451"/>
      <c r="C63" s="1009"/>
      <c r="D63" s="1009"/>
      <c r="E63" s="1009"/>
      <c r="F63" s="1009"/>
      <c r="G63" s="1009"/>
      <c r="H63" s="199"/>
      <c r="I63" s="199"/>
      <c r="J63" s="199"/>
      <c r="K63" s="199"/>
      <c r="L63" s="1009"/>
      <c r="M63" s="199"/>
      <c r="N63" s="199"/>
      <c r="O63" s="199"/>
      <c r="P63" s="199"/>
      <c r="Q63" s="1009"/>
      <c r="R63" s="199"/>
      <c r="S63" s="199"/>
      <c r="T63" s="199"/>
      <c r="U63" s="199"/>
      <c r="V63" s="1009"/>
      <c r="W63" s="199"/>
      <c r="X63" s="199"/>
      <c r="Y63" s="199"/>
      <c r="Z63" s="199"/>
      <c r="AA63" s="1009"/>
      <c r="AB63" s="199"/>
      <c r="AC63" s="199"/>
      <c r="AD63" s="199"/>
      <c r="AE63" s="199"/>
      <c r="AF63" s="1009"/>
      <c r="AG63" s="199"/>
      <c r="AH63" s="199"/>
      <c r="AI63" s="199"/>
      <c r="AJ63" s="199"/>
      <c r="AK63" s="1009"/>
      <c r="AL63" s="199"/>
      <c r="AM63" s="199"/>
      <c r="AN63" s="199"/>
      <c r="AO63" s="199"/>
      <c r="AP63" s="1009"/>
      <c r="AQ63" s="199"/>
      <c r="AR63" s="199"/>
      <c r="AS63" s="199"/>
      <c r="AT63" s="199"/>
      <c r="AU63" s="1009"/>
      <c r="AV63" s="199"/>
      <c r="AW63" s="199"/>
      <c r="AX63" s="199"/>
      <c r="AY63" s="199"/>
      <c r="AZ63" s="1009"/>
      <c r="BA63" s="199"/>
      <c r="BB63" s="199"/>
      <c r="BC63" s="199"/>
      <c r="BD63" s="199"/>
      <c r="BE63" s="1009"/>
      <c r="BF63" s="199"/>
      <c r="BG63" s="199"/>
      <c r="BH63" s="554"/>
      <c r="BI63" s="199"/>
      <c r="BJ63" s="1009"/>
      <c r="BK63" s="199"/>
      <c r="BL63" s="199"/>
      <c r="BM63" s="199"/>
      <c r="BN63" s="199"/>
      <c r="BO63" s="1009"/>
      <c r="BP63" s="1009"/>
      <c r="BQ63" s="1009"/>
      <c r="BR63" s="1009"/>
      <c r="BS63" s="423"/>
    </row>
    <row r="64" spans="1:71" s="24" customFormat="1" ht="15">
      <c r="A64" s="184" t="s">
        <v>48</v>
      </c>
      <c r="B64" s="445"/>
      <c r="C64" s="993">
        <f t="shared" si="197" ref="C64:AM64">C181</f>
        <v>1966</v>
      </c>
      <c r="D64" s="993">
        <f t="shared" si="197"/>
        <v>1904</v>
      </c>
      <c r="E64" s="993">
        <f t="shared" si="197"/>
        <v>1944</v>
      </c>
      <c r="F64" s="993">
        <f t="shared" si="197"/>
        <v>2020</v>
      </c>
      <c r="G64" s="993">
        <f t="shared" si="197"/>
        <v>2369</v>
      </c>
      <c r="H64" s="265">
        <f t="shared" si="197"/>
        <v>554</v>
      </c>
      <c r="I64" s="265">
        <f t="shared" si="197"/>
        <v>653</v>
      </c>
      <c r="J64" s="265">
        <f t="shared" si="197"/>
        <v>661</v>
      </c>
      <c r="K64" s="265">
        <f t="shared" si="197"/>
        <v>673</v>
      </c>
      <c r="L64" s="993">
        <f t="shared" si="197"/>
        <v>2541</v>
      </c>
      <c r="M64" s="265">
        <f t="shared" si="197"/>
        <v>654</v>
      </c>
      <c r="N64" s="265">
        <f t="shared" si="197"/>
        <v>674</v>
      </c>
      <c r="O64" s="265">
        <f t="shared" si="197"/>
        <v>675</v>
      </c>
      <c r="P64" s="265">
        <f t="shared" si="197"/>
        <v>683</v>
      </c>
      <c r="Q64" s="993">
        <f t="shared" si="197"/>
        <v>2686</v>
      </c>
      <c r="R64" s="265">
        <f t="shared" si="197"/>
        <v>615</v>
      </c>
      <c r="S64" s="265">
        <f t="shared" si="197"/>
        <v>649</v>
      </c>
      <c r="T64" s="265">
        <f t="shared" si="197"/>
        <v>650</v>
      </c>
      <c r="U64" s="265">
        <f t="shared" si="197"/>
        <v>640</v>
      </c>
      <c r="V64" s="993">
        <f t="shared" si="197"/>
        <v>2554</v>
      </c>
      <c r="W64" s="265">
        <f t="shared" si="197"/>
        <v>610</v>
      </c>
      <c r="X64" s="265">
        <f t="shared" si="197"/>
        <v>636</v>
      </c>
      <c r="Y64" s="265">
        <f t="shared" si="197"/>
        <v>643</v>
      </c>
      <c r="Z64" s="265">
        <f t="shared" si="197"/>
        <v>674</v>
      </c>
      <c r="AA64" s="993">
        <f t="shared" si="197"/>
        <v>2563</v>
      </c>
      <c r="AB64" s="265">
        <f t="shared" si="197"/>
        <v>650</v>
      </c>
      <c r="AC64" s="265">
        <f t="shared" si="197"/>
        <v>674</v>
      </c>
      <c r="AD64" s="265">
        <f t="shared" si="197"/>
        <v>648</v>
      </c>
      <c r="AE64" s="265">
        <f t="shared" si="197"/>
        <v>651</v>
      </c>
      <c r="AF64" s="993">
        <f t="shared" si="197"/>
        <v>2623</v>
      </c>
      <c r="AG64" s="265">
        <f t="shared" si="197"/>
        <v>632</v>
      </c>
      <c r="AH64" s="265">
        <f t="shared" si="197"/>
        <v>686</v>
      </c>
      <c r="AI64" s="265">
        <f t="shared" si="197"/>
        <v>657</v>
      </c>
      <c r="AJ64" s="265">
        <f t="shared" si="197"/>
        <v>652</v>
      </c>
      <c r="AK64" s="993">
        <f t="shared" si="197"/>
        <v>2627</v>
      </c>
      <c r="AL64" s="265">
        <f t="shared" si="197"/>
        <v>685</v>
      </c>
      <c r="AM64" s="265">
        <f t="shared" si="197"/>
        <v>656</v>
      </c>
      <c r="AN64" s="265">
        <f>AN181</f>
        <v>651</v>
      </c>
      <c r="AO64" s="265">
        <f t="shared" si="198" ref="AO64:AQ64">AO181</f>
        <v>672</v>
      </c>
      <c r="AP64" s="993">
        <f t="shared" si="198"/>
        <v>2664</v>
      </c>
      <c r="AQ64" s="265">
        <f t="shared" si="198"/>
        <v>683</v>
      </c>
      <c r="AR64" s="265">
        <f t="shared" si="199" ref="AR64:AW64">AR181</f>
        <v>688</v>
      </c>
      <c r="AS64" s="265">
        <f t="shared" si="199"/>
        <v>684</v>
      </c>
      <c r="AT64" s="265">
        <f t="shared" si="199"/>
        <v>691</v>
      </c>
      <c r="AU64" s="993">
        <f t="shared" si="199"/>
        <v>2746</v>
      </c>
      <c r="AV64" s="265">
        <f t="shared" si="199"/>
        <v>697</v>
      </c>
      <c r="AW64" s="265">
        <f t="shared" si="199"/>
        <v>714</v>
      </c>
      <c r="AX64" s="265">
        <f t="shared" si="200" ref="AX64:BB64">AX181</f>
        <v>704</v>
      </c>
      <c r="AY64" s="265">
        <f t="shared" si="200"/>
        <v>712</v>
      </c>
      <c r="AZ64" s="993">
        <f t="shared" si="200"/>
        <v>2827</v>
      </c>
      <c r="BA64" s="265">
        <f t="shared" si="200"/>
        <v>734</v>
      </c>
      <c r="BB64" s="265">
        <f t="shared" si="200"/>
        <v>764</v>
      </c>
      <c r="BC64" s="265">
        <f t="shared" si="201" ref="BC64:BH64">BC181</f>
        <v>772</v>
      </c>
      <c r="BD64" s="265">
        <f t="shared" si="201"/>
        <v>771</v>
      </c>
      <c r="BE64" s="993">
        <f t="shared" si="201"/>
        <v>3041</v>
      </c>
      <c r="BF64" s="265">
        <f t="shared" si="201"/>
        <v>818</v>
      </c>
      <c r="BG64" s="265">
        <f t="shared" si="201"/>
        <v>835</v>
      </c>
      <c r="BH64" s="745">
        <f t="shared" si="201"/>
        <v>826</v>
      </c>
      <c r="BI64" s="210">
        <f t="shared" si="202" ref="BI64:BI66">BI36*BI114</f>
        <v>869.59139058000005</v>
      </c>
      <c r="BJ64" s="994">
        <f>SUM(BF64,BG64,BH64,BI64)</f>
        <v>3348.5913905799998</v>
      </c>
      <c r="BK64" s="210">
        <f t="shared" si="203" ref="BK64:BN66">BK36*BK114</f>
        <v>1018.63833162</v>
      </c>
      <c r="BL64" s="210">
        <f t="shared" si="203"/>
        <v>1023.783643575</v>
      </c>
      <c r="BM64" s="210">
        <f t="shared" si="203"/>
        <v>1024.4474682750001</v>
      </c>
      <c r="BN64" s="210">
        <f t="shared" si="203"/>
        <v>895.67913229740009</v>
      </c>
      <c r="BO64" s="994">
        <f>SUM(BK64,BL64,BM64,BN64)</f>
        <v>3962.5485757674001</v>
      </c>
      <c r="BP64" s="994">
        <f t="shared" si="204" ref="BP64:BR66">BP36*BP114</f>
        <v>3918.0795575701486</v>
      </c>
      <c r="BQ64" s="994">
        <f t="shared" si="204"/>
        <v>3976.8507509337001</v>
      </c>
      <c r="BR64" s="994">
        <f t="shared" si="204"/>
        <v>4036.5035121977053</v>
      </c>
      <c r="BS64" s="833"/>
    </row>
    <row r="65" spans="1:71" s="24" customFormat="1" ht="15">
      <c r="A65" s="184" t="s">
        <v>49</v>
      </c>
      <c r="B65" s="445"/>
      <c r="C65" s="993">
        <f t="shared" si="205" ref="C65:AM65">C239</f>
        <v>579</v>
      </c>
      <c r="D65" s="993">
        <f t="shared" si="205"/>
        <v>608</v>
      </c>
      <c r="E65" s="993">
        <f t="shared" si="205"/>
        <v>648</v>
      </c>
      <c r="F65" s="993">
        <f t="shared" si="205"/>
        <v>667</v>
      </c>
      <c r="G65" s="993">
        <f t="shared" si="205"/>
        <v>388</v>
      </c>
      <c r="H65" s="265">
        <f t="shared" si="205"/>
        <v>97</v>
      </c>
      <c r="I65" s="265">
        <f t="shared" si="205"/>
        <v>102</v>
      </c>
      <c r="J65" s="265">
        <f t="shared" si="205"/>
        <v>101</v>
      </c>
      <c r="K65" s="265">
        <f t="shared" si="205"/>
        <v>103</v>
      </c>
      <c r="L65" s="993">
        <f t="shared" si="205"/>
        <v>403</v>
      </c>
      <c r="M65" s="265">
        <f t="shared" si="205"/>
        <v>100</v>
      </c>
      <c r="N65" s="265">
        <f t="shared" si="205"/>
        <v>99</v>
      </c>
      <c r="O65" s="265">
        <f t="shared" si="205"/>
        <v>93</v>
      </c>
      <c r="P65" s="265">
        <f t="shared" si="205"/>
        <v>97</v>
      </c>
      <c r="Q65" s="993">
        <f t="shared" si="205"/>
        <v>389</v>
      </c>
      <c r="R65" s="265">
        <f t="shared" si="205"/>
        <v>107</v>
      </c>
      <c r="S65" s="265">
        <f t="shared" si="205"/>
        <v>109</v>
      </c>
      <c r="T65" s="265">
        <f t="shared" si="205"/>
        <v>112</v>
      </c>
      <c r="U65" s="265">
        <f t="shared" si="205"/>
        <v>117</v>
      </c>
      <c r="V65" s="993">
        <f t="shared" si="205"/>
        <v>445</v>
      </c>
      <c r="W65" s="265">
        <f t="shared" si="205"/>
        <v>113</v>
      </c>
      <c r="X65" s="265">
        <f t="shared" si="205"/>
        <v>116</v>
      </c>
      <c r="Y65" s="265">
        <f t="shared" si="205"/>
        <v>115</v>
      </c>
      <c r="Z65" s="265">
        <f t="shared" si="205"/>
        <v>120</v>
      </c>
      <c r="AA65" s="993">
        <f t="shared" si="205"/>
        <v>464</v>
      </c>
      <c r="AB65" s="265">
        <f t="shared" si="205"/>
        <v>115</v>
      </c>
      <c r="AC65" s="265">
        <f t="shared" si="205"/>
        <v>116</v>
      </c>
      <c r="AD65" s="265">
        <f t="shared" si="205"/>
        <v>113</v>
      </c>
      <c r="AE65" s="265">
        <f t="shared" si="205"/>
        <v>115</v>
      </c>
      <c r="AF65" s="993">
        <f t="shared" si="205"/>
        <v>459</v>
      </c>
      <c r="AG65" s="265">
        <f t="shared" si="205"/>
        <v>117</v>
      </c>
      <c r="AH65" s="265">
        <f t="shared" si="205"/>
        <v>120</v>
      </c>
      <c r="AI65" s="265">
        <f t="shared" si="205"/>
        <v>124</v>
      </c>
      <c r="AJ65" s="265">
        <f t="shared" si="205"/>
        <v>122</v>
      </c>
      <c r="AK65" s="993">
        <f t="shared" si="205"/>
        <v>483</v>
      </c>
      <c r="AL65" s="265">
        <f t="shared" si="205"/>
        <v>125</v>
      </c>
      <c r="AM65" s="265">
        <f t="shared" si="205"/>
        <v>123</v>
      </c>
      <c r="AN65" s="265">
        <f>AN239</f>
        <v>124</v>
      </c>
      <c r="AO65" s="265">
        <f t="shared" si="206" ref="AO65:AQ65">AO239</f>
        <v>128</v>
      </c>
      <c r="AP65" s="993">
        <f t="shared" si="206"/>
        <v>500</v>
      </c>
      <c r="AQ65" s="265">
        <f t="shared" si="206"/>
        <v>130</v>
      </c>
      <c r="AR65" s="265">
        <f t="shared" si="207" ref="AR65:AW65">AR239</f>
        <v>135</v>
      </c>
      <c r="AS65" s="265">
        <f t="shared" si="207"/>
        <v>135</v>
      </c>
      <c r="AT65" s="265">
        <f t="shared" si="207"/>
        <v>132</v>
      </c>
      <c r="AU65" s="993">
        <f t="shared" si="207"/>
        <v>532</v>
      </c>
      <c r="AV65" s="265">
        <f t="shared" si="207"/>
        <v>141</v>
      </c>
      <c r="AW65" s="265">
        <f t="shared" si="207"/>
        <v>148</v>
      </c>
      <c r="AX65" s="265">
        <f t="shared" si="208" ref="AX65:BC65">AX239</f>
        <v>148</v>
      </c>
      <c r="AY65" s="265">
        <f t="shared" si="208"/>
        <v>153</v>
      </c>
      <c r="AZ65" s="993">
        <f t="shared" si="208"/>
        <v>590</v>
      </c>
      <c r="BA65" s="265">
        <f t="shared" si="208"/>
        <v>165</v>
      </c>
      <c r="BB65" s="265">
        <f t="shared" si="208"/>
        <v>173</v>
      </c>
      <c r="BC65" s="265">
        <f t="shared" si="208"/>
        <v>172</v>
      </c>
      <c r="BD65" s="265">
        <f>BD239</f>
        <v>171</v>
      </c>
      <c r="BE65" s="993">
        <f>BE239</f>
        <v>681</v>
      </c>
      <c r="BF65" s="265">
        <f>BF239</f>
        <v>205</v>
      </c>
      <c r="BG65" s="265">
        <f>BG239</f>
        <v>207</v>
      </c>
      <c r="BH65" s="745">
        <f>BH239</f>
        <v>203</v>
      </c>
      <c r="BI65" s="210">
        <f t="shared" si="202"/>
        <v>163.12911340000002</v>
      </c>
      <c r="BJ65" s="994">
        <f>SUM(BF65,BG65,BH65,BI65)</f>
        <v>778.12911340000005</v>
      </c>
      <c r="BK65" s="210">
        <f t="shared" si="203"/>
        <v>165.59143964</v>
      </c>
      <c r="BL65" s="210">
        <f t="shared" si="203"/>
        <v>183.64246362</v>
      </c>
      <c r="BM65" s="210">
        <f t="shared" si="203"/>
        <v>189.83448989999999</v>
      </c>
      <c r="BN65" s="210">
        <f t="shared" si="203"/>
        <v>168.02298680200002</v>
      </c>
      <c r="BO65" s="994">
        <f>SUM(BK65,BL65,BM65,BN65)</f>
        <v>707.09137996200002</v>
      </c>
      <c r="BP65" s="994">
        <f t="shared" si="204"/>
        <v>755.78438830752032</v>
      </c>
      <c r="BQ65" s="994">
        <f t="shared" si="204"/>
        <v>786.01576383982092</v>
      </c>
      <c r="BR65" s="994">
        <f t="shared" si="204"/>
        <v>817.45639439341392</v>
      </c>
      <c r="BS65" s="833"/>
    </row>
    <row r="66" spans="1:71" s="24" customFormat="1" ht="15">
      <c r="A66" s="179" t="s">
        <v>50</v>
      </c>
      <c r="B66" s="446"/>
      <c r="C66" s="995">
        <f t="shared" si="209" ref="C66:AM66">C290</f>
        <v>784</v>
      </c>
      <c r="D66" s="995">
        <f t="shared" si="209"/>
        <v>867</v>
      </c>
      <c r="E66" s="995">
        <f t="shared" si="209"/>
        <v>908</v>
      </c>
      <c r="F66" s="995">
        <f t="shared" si="209"/>
        <v>900</v>
      </c>
      <c r="G66" s="995">
        <f t="shared" si="209"/>
        <v>980</v>
      </c>
      <c r="H66" s="186">
        <f t="shared" si="209"/>
        <v>223</v>
      </c>
      <c r="I66" s="186">
        <f t="shared" si="209"/>
        <v>237</v>
      </c>
      <c r="J66" s="186">
        <f t="shared" si="209"/>
        <v>263</v>
      </c>
      <c r="K66" s="186">
        <f t="shared" si="209"/>
        <v>254</v>
      </c>
      <c r="L66" s="995">
        <f t="shared" si="209"/>
        <v>977</v>
      </c>
      <c r="M66" s="186">
        <f t="shared" si="209"/>
        <v>234</v>
      </c>
      <c r="N66" s="186">
        <f t="shared" si="209"/>
        <v>252</v>
      </c>
      <c r="O66" s="186">
        <f t="shared" si="209"/>
        <v>252</v>
      </c>
      <c r="P66" s="186">
        <f t="shared" si="209"/>
        <v>250</v>
      </c>
      <c r="Q66" s="995">
        <f t="shared" si="209"/>
        <v>988</v>
      </c>
      <c r="R66" s="186">
        <f t="shared" si="209"/>
        <v>265</v>
      </c>
      <c r="S66" s="186">
        <f t="shared" si="209"/>
        <v>289</v>
      </c>
      <c r="T66" s="186">
        <f t="shared" si="209"/>
        <v>287</v>
      </c>
      <c r="U66" s="186">
        <f t="shared" si="209"/>
        <v>283</v>
      </c>
      <c r="V66" s="995">
        <f t="shared" si="209"/>
        <v>1124</v>
      </c>
      <c r="W66" s="186">
        <f t="shared" si="209"/>
        <v>265</v>
      </c>
      <c r="X66" s="186">
        <f t="shared" si="209"/>
        <v>285</v>
      </c>
      <c r="Y66" s="186">
        <f t="shared" si="209"/>
        <v>280</v>
      </c>
      <c r="Z66" s="186">
        <f t="shared" si="209"/>
        <v>281</v>
      </c>
      <c r="AA66" s="995">
        <f t="shared" si="209"/>
        <v>1111</v>
      </c>
      <c r="AB66" s="186">
        <f t="shared" si="209"/>
        <v>288</v>
      </c>
      <c r="AC66" s="186">
        <f t="shared" si="209"/>
        <v>316</v>
      </c>
      <c r="AD66" s="186">
        <f t="shared" si="209"/>
        <v>290</v>
      </c>
      <c r="AE66" s="186">
        <f t="shared" si="209"/>
        <v>291</v>
      </c>
      <c r="AF66" s="995">
        <f t="shared" si="209"/>
        <v>1185</v>
      </c>
      <c r="AG66" s="186">
        <f t="shared" si="209"/>
        <v>300</v>
      </c>
      <c r="AH66" s="186">
        <f t="shared" si="209"/>
        <v>311</v>
      </c>
      <c r="AI66" s="186">
        <f t="shared" si="209"/>
        <v>309</v>
      </c>
      <c r="AJ66" s="186">
        <f t="shared" si="209"/>
        <v>300</v>
      </c>
      <c r="AK66" s="995">
        <f t="shared" si="209"/>
        <v>1220</v>
      </c>
      <c r="AL66" s="186">
        <f t="shared" si="209"/>
        <v>320</v>
      </c>
      <c r="AM66" s="186">
        <f t="shared" si="209"/>
        <v>333</v>
      </c>
      <c r="AN66" s="186">
        <f>AN290</f>
        <v>328</v>
      </c>
      <c r="AO66" s="186">
        <f t="shared" si="210" ref="AO66:AQ66">AO290</f>
        <v>333</v>
      </c>
      <c r="AP66" s="995">
        <f t="shared" si="210"/>
        <v>1314</v>
      </c>
      <c r="AQ66" s="186">
        <f t="shared" si="210"/>
        <v>344</v>
      </c>
      <c r="AR66" s="186">
        <f t="shared" si="211" ref="AR66:AW66">AR290</f>
        <v>343</v>
      </c>
      <c r="AS66" s="186">
        <f t="shared" si="211"/>
        <v>360</v>
      </c>
      <c r="AT66" s="186">
        <f t="shared" si="211"/>
        <v>323</v>
      </c>
      <c r="AU66" s="995">
        <f t="shared" si="211"/>
        <v>1370</v>
      </c>
      <c r="AV66" s="186">
        <f t="shared" si="211"/>
        <v>345</v>
      </c>
      <c r="AW66" s="186">
        <f t="shared" si="211"/>
        <v>352</v>
      </c>
      <c r="AX66" s="186">
        <f t="shared" si="212" ref="AX66:BC66">AX290</f>
        <v>333</v>
      </c>
      <c r="AY66" s="186">
        <f t="shared" si="212"/>
        <v>332</v>
      </c>
      <c r="AZ66" s="995">
        <f t="shared" si="212"/>
        <v>1362</v>
      </c>
      <c r="BA66" s="186">
        <f t="shared" si="212"/>
        <v>359</v>
      </c>
      <c r="BB66" s="186">
        <f t="shared" si="212"/>
        <v>361</v>
      </c>
      <c r="BC66" s="186">
        <f t="shared" si="212"/>
        <v>359</v>
      </c>
      <c r="BD66" s="186">
        <f>BD290</f>
        <v>338</v>
      </c>
      <c r="BE66" s="995">
        <f>BE290</f>
        <v>1417</v>
      </c>
      <c r="BF66" s="186">
        <f>BF290</f>
        <v>375</v>
      </c>
      <c r="BG66" s="186">
        <f>BG290</f>
        <v>424</v>
      </c>
      <c r="BH66" s="746">
        <f>BH290</f>
        <v>420</v>
      </c>
      <c r="BI66" s="205">
        <f t="shared" si="202"/>
        <v>452.61440532</v>
      </c>
      <c r="BJ66" s="996">
        <f>SUM(BF66,BG66,BH66,BI66)</f>
        <v>1671.6144053200001</v>
      </c>
      <c r="BK66" s="205">
        <f t="shared" si="203"/>
        <v>422.44422528000007</v>
      </c>
      <c r="BL66" s="205">
        <f t="shared" si="203"/>
        <v>563.85773135999989</v>
      </c>
      <c r="BM66" s="205">
        <f t="shared" si="203"/>
        <v>593.72281583999995</v>
      </c>
      <c r="BN66" s="205">
        <f t="shared" si="203"/>
        <v>479.77126963920011</v>
      </c>
      <c r="BO66" s="996">
        <f>SUM(BK66,BL66,BM66,BN66)</f>
        <v>2059.7960421192001</v>
      </c>
      <c r="BP66" s="996">
        <f t="shared" si="204"/>
        <v>2216.3298605199357</v>
      </c>
      <c r="BQ66" s="996">
        <f t="shared" si="204"/>
        <v>2349.3096521511325</v>
      </c>
      <c r="BR66" s="996">
        <f t="shared" si="204"/>
        <v>2490.2682312802003</v>
      </c>
      <c r="BS66" s="833"/>
    </row>
    <row r="67" spans="1:71" s="181" customFormat="1" ht="15">
      <c r="A67" s="88" t="s">
        <v>51</v>
      </c>
      <c r="B67" s="447"/>
      <c r="C67" s="997">
        <f t="shared" si="213" ref="C67:AM67">SUM(C64:C66)</f>
        <v>3329</v>
      </c>
      <c r="D67" s="997">
        <f t="shared" si="213"/>
        <v>3379</v>
      </c>
      <c r="E67" s="997">
        <f t="shared" si="213"/>
        <v>3500</v>
      </c>
      <c r="F67" s="997">
        <f t="shared" si="213"/>
        <v>3587</v>
      </c>
      <c r="G67" s="997">
        <f t="shared" si="213"/>
        <v>3737</v>
      </c>
      <c r="H67" s="193">
        <f t="shared" si="213"/>
        <v>874</v>
      </c>
      <c r="I67" s="193">
        <f t="shared" si="213"/>
        <v>992</v>
      </c>
      <c r="J67" s="193">
        <f t="shared" si="213"/>
        <v>1025</v>
      </c>
      <c r="K67" s="193">
        <f t="shared" si="213"/>
        <v>1030</v>
      </c>
      <c r="L67" s="997">
        <f t="shared" si="213"/>
        <v>3921</v>
      </c>
      <c r="M67" s="193">
        <f t="shared" si="213"/>
        <v>988</v>
      </c>
      <c r="N67" s="193">
        <f t="shared" si="213"/>
        <v>1025</v>
      </c>
      <c r="O67" s="193">
        <f t="shared" si="213"/>
        <v>1020</v>
      </c>
      <c r="P67" s="193">
        <f t="shared" si="213"/>
        <v>1030</v>
      </c>
      <c r="Q67" s="997">
        <f t="shared" si="213"/>
        <v>4063</v>
      </c>
      <c r="R67" s="193">
        <f t="shared" si="213"/>
        <v>987</v>
      </c>
      <c r="S67" s="193">
        <f t="shared" si="213"/>
        <v>1047</v>
      </c>
      <c r="T67" s="193">
        <f t="shared" si="213"/>
        <v>1049</v>
      </c>
      <c r="U67" s="193">
        <f t="shared" si="213"/>
        <v>1040</v>
      </c>
      <c r="V67" s="997">
        <f t="shared" si="213"/>
        <v>4123</v>
      </c>
      <c r="W67" s="193">
        <f t="shared" si="213"/>
        <v>988</v>
      </c>
      <c r="X67" s="193">
        <f t="shared" si="213"/>
        <v>1037</v>
      </c>
      <c r="Y67" s="193">
        <f t="shared" si="213"/>
        <v>1038</v>
      </c>
      <c r="Z67" s="193">
        <f t="shared" si="213"/>
        <v>1075</v>
      </c>
      <c r="AA67" s="997">
        <f t="shared" si="213"/>
        <v>4138</v>
      </c>
      <c r="AB67" s="193">
        <f t="shared" si="213"/>
        <v>1053</v>
      </c>
      <c r="AC67" s="193">
        <f t="shared" si="213"/>
        <v>1106</v>
      </c>
      <c r="AD67" s="193">
        <f t="shared" si="213"/>
        <v>1051</v>
      </c>
      <c r="AE67" s="193">
        <f t="shared" si="213"/>
        <v>1057</v>
      </c>
      <c r="AF67" s="997">
        <f t="shared" si="213"/>
        <v>4267</v>
      </c>
      <c r="AG67" s="193">
        <f t="shared" si="213"/>
        <v>1049</v>
      </c>
      <c r="AH67" s="193">
        <f t="shared" si="213"/>
        <v>1117</v>
      </c>
      <c r="AI67" s="193">
        <f t="shared" si="213"/>
        <v>1090</v>
      </c>
      <c r="AJ67" s="193">
        <f t="shared" si="213"/>
        <v>1074</v>
      </c>
      <c r="AK67" s="997">
        <f t="shared" si="213"/>
        <v>4330</v>
      </c>
      <c r="AL67" s="193">
        <f t="shared" si="213"/>
        <v>1130</v>
      </c>
      <c r="AM67" s="193">
        <f t="shared" si="213"/>
        <v>1112</v>
      </c>
      <c r="AN67" s="193">
        <f>SUM(AN64:AN66)</f>
        <v>1103</v>
      </c>
      <c r="AO67" s="193">
        <f t="shared" si="214" ref="AO67:AQ67">SUM(AO64:AO66)</f>
        <v>1133</v>
      </c>
      <c r="AP67" s="997">
        <f t="shared" si="214"/>
        <v>4478</v>
      </c>
      <c r="AQ67" s="193">
        <f t="shared" si="214"/>
        <v>1157</v>
      </c>
      <c r="AR67" s="193">
        <f t="shared" si="215" ref="AR67:AW67">SUM(AR64:AR66)</f>
        <v>1166</v>
      </c>
      <c r="AS67" s="193">
        <f t="shared" si="215"/>
        <v>1179</v>
      </c>
      <c r="AT67" s="193">
        <f t="shared" si="215"/>
        <v>1146</v>
      </c>
      <c r="AU67" s="997">
        <f t="shared" si="215"/>
        <v>4648</v>
      </c>
      <c r="AV67" s="193">
        <f t="shared" si="215"/>
        <v>1183</v>
      </c>
      <c r="AW67" s="193">
        <f t="shared" si="215"/>
        <v>1214</v>
      </c>
      <c r="AX67" s="193">
        <f t="shared" si="216" ref="AX67:BJ67">SUM(AX64:AX66)</f>
        <v>1185</v>
      </c>
      <c r="AY67" s="193">
        <f t="shared" si="216"/>
        <v>1197</v>
      </c>
      <c r="AZ67" s="997">
        <f t="shared" si="216"/>
        <v>4779</v>
      </c>
      <c r="BA67" s="193">
        <f t="shared" si="217" ref="BA67:BI67">SUM(BA64:BA66)</f>
        <v>1258</v>
      </c>
      <c r="BB67" s="193">
        <f t="shared" si="217"/>
        <v>1298</v>
      </c>
      <c r="BC67" s="193">
        <f t="shared" si="217"/>
        <v>1303</v>
      </c>
      <c r="BD67" s="193">
        <f t="shared" si="217"/>
        <v>1280</v>
      </c>
      <c r="BE67" s="997">
        <f t="shared" si="217"/>
        <v>5139</v>
      </c>
      <c r="BF67" s="193">
        <f>SUM(BF64:BF66)</f>
        <v>1398</v>
      </c>
      <c r="BG67" s="193">
        <f>SUM(BG64:BG66)</f>
        <v>1466</v>
      </c>
      <c r="BH67" s="747">
        <f>SUM(BH64:BH66)</f>
        <v>1449</v>
      </c>
      <c r="BI67" s="194">
        <f t="shared" si="217"/>
        <v>1485.3349093000002</v>
      </c>
      <c r="BJ67" s="998">
        <f t="shared" si="216"/>
        <v>5798.3349092999997</v>
      </c>
      <c r="BK67" s="194">
        <f t="shared" si="218" ref="BK67:BR67">SUM(BK64:BK66)</f>
        <v>1606.6739965400002</v>
      </c>
      <c r="BL67" s="194">
        <f t="shared" si="218"/>
        <v>1771.2838385549999</v>
      </c>
      <c r="BM67" s="194">
        <f t="shared" si="218"/>
        <v>1808.0047740149998</v>
      </c>
      <c r="BN67" s="194">
        <f t="shared" si="218"/>
        <v>1543.4733887386001</v>
      </c>
      <c r="BO67" s="998">
        <f t="shared" si="218"/>
        <v>6729.4359978486</v>
      </c>
      <c r="BP67" s="998">
        <f t="shared" si="218"/>
        <v>6890.1938063976049</v>
      </c>
      <c r="BQ67" s="998">
        <f t="shared" si="218"/>
        <v>7112.1761669246534</v>
      </c>
      <c r="BR67" s="998">
        <f t="shared" si="218"/>
        <v>7344.2281378713196</v>
      </c>
      <c r="BS67" s="423"/>
    </row>
    <row r="68" spans="1:71" s="181" customFormat="1" ht="15">
      <c r="A68" s="452"/>
      <c r="B68" s="451"/>
      <c r="C68" s="1009"/>
      <c r="D68" s="1009"/>
      <c r="E68" s="1009"/>
      <c r="F68" s="1009"/>
      <c r="G68" s="1009"/>
      <c r="H68" s="199"/>
      <c r="I68" s="199"/>
      <c r="J68" s="199"/>
      <c r="K68" s="199"/>
      <c r="L68" s="1009"/>
      <c r="M68" s="199"/>
      <c r="N68" s="199"/>
      <c r="O68" s="199"/>
      <c r="P68" s="199"/>
      <c r="Q68" s="1009"/>
      <c r="R68" s="199"/>
      <c r="S68" s="199"/>
      <c r="T68" s="199"/>
      <c r="U68" s="199"/>
      <c r="V68" s="1009"/>
      <c r="W68" s="199"/>
      <c r="X68" s="199"/>
      <c r="Y68" s="199"/>
      <c r="Z68" s="199"/>
      <c r="AA68" s="1009"/>
      <c r="AB68" s="199"/>
      <c r="AC68" s="199"/>
      <c r="AD68" s="199"/>
      <c r="AE68" s="199"/>
      <c r="AF68" s="1009"/>
      <c r="AG68" s="199"/>
      <c r="AH68" s="199"/>
      <c r="AI68" s="199"/>
      <c r="AJ68" s="199"/>
      <c r="AK68" s="1009"/>
      <c r="AL68" s="199"/>
      <c r="AM68" s="199"/>
      <c r="AN68" s="199"/>
      <c r="AO68" s="199"/>
      <c r="AP68" s="1009"/>
      <c r="AQ68" s="199"/>
      <c r="AR68" s="199"/>
      <c r="AS68" s="199"/>
      <c r="AT68" s="199"/>
      <c r="AU68" s="1009"/>
      <c r="AV68" s="199"/>
      <c r="AW68" s="199"/>
      <c r="AX68" s="199"/>
      <c r="AY68" s="199"/>
      <c r="AZ68" s="1009"/>
      <c r="BA68" s="199"/>
      <c r="BB68" s="199"/>
      <c r="BC68" s="199"/>
      <c r="BD68" s="199"/>
      <c r="BE68" s="1009"/>
      <c r="BF68" s="199"/>
      <c r="BG68" s="199"/>
      <c r="BH68" s="554"/>
      <c r="BI68" s="199"/>
      <c r="BJ68" s="1009"/>
      <c r="BK68" s="199"/>
      <c r="BL68" s="199"/>
      <c r="BM68" s="199"/>
      <c r="BN68" s="199"/>
      <c r="BO68" s="1009"/>
      <c r="BP68" s="1009"/>
      <c r="BQ68" s="1009"/>
      <c r="BR68" s="1009"/>
      <c r="BS68" s="423"/>
    </row>
    <row r="69" spans="1:71" s="24" customFormat="1" ht="15">
      <c r="A69" s="263" t="s">
        <v>52</v>
      </c>
      <c r="B69" s="445"/>
      <c r="C69" s="993">
        <f t="shared" si="219" ref="C69:AH69">C45+C59+C64</f>
        <v>9778</v>
      </c>
      <c r="D69" s="993">
        <f t="shared" si="219"/>
        <v>10157</v>
      </c>
      <c r="E69" s="993">
        <f t="shared" si="219"/>
        <v>12206</v>
      </c>
      <c r="F69" s="993">
        <f t="shared" si="219"/>
        <v>11761</v>
      </c>
      <c r="G69" s="993">
        <f t="shared" si="219"/>
        <v>12812</v>
      </c>
      <c r="H69" s="265">
        <f t="shared" si="219"/>
        <v>3296</v>
      </c>
      <c r="I69" s="265">
        <f t="shared" si="219"/>
        <v>3688</v>
      </c>
      <c r="J69" s="265">
        <f t="shared" si="219"/>
        <v>3610</v>
      </c>
      <c r="K69" s="265">
        <f t="shared" si="219"/>
        <v>3413</v>
      </c>
      <c r="L69" s="993">
        <f t="shared" si="219"/>
        <v>14007</v>
      </c>
      <c r="M69" s="265">
        <f t="shared" si="219"/>
        <v>3503</v>
      </c>
      <c r="N69" s="265">
        <f t="shared" si="219"/>
        <v>3490</v>
      </c>
      <c r="O69" s="265">
        <f t="shared" si="219"/>
        <v>3493</v>
      </c>
      <c r="P69" s="265">
        <f t="shared" si="219"/>
        <v>3388</v>
      </c>
      <c r="Q69" s="993">
        <f t="shared" si="219"/>
        <v>13874</v>
      </c>
      <c r="R69" s="265">
        <f t="shared" si="219"/>
        <v>3374</v>
      </c>
      <c r="S69" s="265">
        <f t="shared" si="219"/>
        <v>3446</v>
      </c>
      <c r="T69" s="265">
        <f t="shared" si="219"/>
        <v>3487</v>
      </c>
      <c r="U69" s="265">
        <f t="shared" si="219"/>
        <v>3221</v>
      </c>
      <c r="V69" s="993">
        <f t="shared" si="219"/>
        <v>13528</v>
      </c>
      <c r="W69" s="265">
        <f t="shared" si="219"/>
        <v>3429</v>
      </c>
      <c r="X69" s="265">
        <f t="shared" si="219"/>
        <v>3509</v>
      </c>
      <c r="Y69" s="265">
        <f t="shared" si="219"/>
        <v>4069</v>
      </c>
      <c r="Z69" s="265">
        <f t="shared" si="219"/>
        <v>3363</v>
      </c>
      <c r="AA69" s="993">
        <f t="shared" si="219"/>
        <v>14370</v>
      </c>
      <c r="AB69" s="265">
        <f t="shared" si="219"/>
        <v>3622</v>
      </c>
      <c r="AC69" s="265">
        <f t="shared" si="219"/>
        <v>3746</v>
      </c>
      <c r="AD69" s="265">
        <f t="shared" si="219"/>
        <v>3911</v>
      </c>
      <c r="AE69" s="265">
        <f t="shared" si="219"/>
        <v>3903</v>
      </c>
      <c r="AF69" s="993">
        <f t="shared" si="219"/>
        <v>15182</v>
      </c>
      <c r="AG69" s="265">
        <f t="shared" si="219"/>
        <v>3827</v>
      </c>
      <c r="AH69" s="265">
        <f t="shared" si="219"/>
        <v>3990</v>
      </c>
      <c r="AI69" s="265">
        <f t="shared" si="220" ref="AI69:AR69">AI45+AI59+AI64</f>
        <v>4319</v>
      </c>
      <c r="AJ69" s="265">
        <f t="shared" si="220"/>
        <v>3957</v>
      </c>
      <c r="AK69" s="993">
        <f t="shared" si="220"/>
        <v>16093</v>
      </c>
      <c r="AL69" s="265">
        <f t="shared" si="220"/>
        <v>4112</v>
      </c>
      <c r="AM69" s="265">
        <f t="shared" si="220"/>
        <v>4158</v>
      </c>
      <c r="AN69" s="265">
        <f t="shared" si="220"/>
        <v>4088</v>
      </c>
      <c r="AO69" s="265">
        <f t="shared" si="220"/>
        <v>3628</v>
      </c>
      <c r="AP69" s="993">
        <f t="shared" si="220"/>
        <v>15986</v>
      </c>
      <c r="AQ69" s="265">
        <f t="shared" si="220"/>
        <v>4098</v>
      </c>
      <c r="AR69" s="265">
        <f t="shared" si="220"/>
        <v>3869</v>
      </c>
      <c r="AS69" s="265">
        <f t="shared" si="221" ref="AS69:AX69">AS45+AS59+AS64</f>
        <v>4040</v>
      </c>
      <c r="AT69" s="265">
        <f t="shared" si="221"/>
        <v>3718</v>
      </c>
      <c r="AU69" s="993">
        <f t="shared" si="221"/>
        <v>15725</v>
      </c>
      <c r="AV69" s="265">
        <f t="shared" si="221"/>
        <v>3879</v>
      </c>
      <c r="AW69" s="265">
        <f t="shared" si="221"/>
        <v>4103</v>
      </c>
      <c r="AX69" s="265">
        <f t="shared" si="221"/>
        <v>4371</v>
      </c>
      <c r="AY69" s="265">
        <f t="shared" si="222" ref="AY69:BJ69">AY45+AY59+AY64</f>
        <v>4169</v>
      </c>
      <c r="AZ69" s="993">
        <f t="shared" si="222"/>
        <v>16522</v>
      </c>
      <c r="BA69" s="265">
        <f t="shared" si="223" ref="BA69:BI69">BA45+BA59+BA64</f>
        <v>4383</v>
      </c>
      <c r="BB69" s="265">
        <f t="shared" si="223"/>
        <v>4833</v>
      </c>
      <c r="BC69" s="265">
        <f t="shared" si="223"/>
        <v>5111</v>
      </c>
      <c r="BD69" s="265">
        <f t="shared" si="223"/>
        <v>4583</v>
      </c>
      <c r="BE69" s="993">
        <f t="shared" si="223"/>
        <v>18910</v>
      </c>
      <c r="BF69" s="265">
        <f>BF45+BF59+BF64</f>
        <v>5013</v>
      </c>
      <c r="BG69" s="265">
        <f>BG45+BG59+BG64</f>
        <v>5167</v>
      </c>
      <c r="BH69" s="745">
        <f>BH45+BH59+BH64</f>
        <v>5454</v>
      </c>
      <c r="BI69" s="210">
        <f t="shared" si="223"/>
        <v>5064.0910392599999</v>
      </c>
      <c r="BJ69" s="994">
        <f t="shared" si="222"/>
        <v>20698.091039260002</v>
      </c>
      <c r="BK69" s="210">
        <f t="shared" si="224" ref="BK69:BR69">BK45+BK59+BK64</f>
        <v>5956.0382448840001</v>
      </c>
      <c r="BL69" s="210">
        <f t="shared" si="224"/>
        <v>5844.3420567510002</v>
      </c>
      <c r="BM69" s="210">
        <f t="shared" si="224"/>
        <v>5789.5916921370008</v>
      </c>
      <c r="BN69" s="210">
        <f t="shared" si="224"/>
        <v>5216.0137704378003</v>
      </c>
      <c r="BO69" s="994">
        <f t="shared" si="224"/>
        <v>22805.985764209803</v>
      </c>
      <c r="BP69" s="994">
        <f t="shared" si="224"/>
        <v>22321.858965128216</v>
      </c>
      <c r="BQ69" s="994">
        <f t="shared" si="224"/>
        <v>22383.988512398257</v>
      </c>
      <c r="BR69" s="994">
        <f t="shared" si="224"/>
        <v>22996.537152349214</v>
      </c>
      <c r="BS69" s="833"/>
    </row>
    <row r="70" spans="1:71" s="24" customFormat="1" ht="15">
      <c r="A70" s="263" t="s">
        <v>53</v>
      </c>
      <c r="B70" s="445"/>
      <c r="C70" s="993">
        <f t="shared" si="225" ref="C70:AH70">C49+C60+C65</f>
        <v>2948</v>
      </c>
      <c r="D70" s="993">
        <f t="shared" si="225"/>
        <v>2920</v>
      </c>
      <c r="E70" s="993">
        <f t="shared" si="225"/>
        <v>2738</v>
      </c>
      <c r="F70" s="993">
        <f t="shared" si="225"/>
        <v>2570</v>
      </c>
      <c r="G70" s="993">
        <f t="shared" si="225"/>
        <v>1461</v>
      </c>
      <c r="H70" s="265">
        <f t="shared" si="225"/>
        <v>349</v>
      </c>
      <c r="I70" s="265">
        <f t="shared" si="225"/>
        <v>307</v>
      </c>
      <c r="J70" s="265">
        <f t="shared" si="225"/>
        <v>354</v>
      </c>
      <c r="K70" s="265">
        <f t="shared" si="225"/>
        <v>262</v>
      </c>
      <c r="L70" s="993">
        <f t="shared" si="225"/>
        <v>1272</v>
      </c>
      <c r="M70" s="265">
        <f t="shared" si="225"/>
        <v>386</v>
      </c>
      <c r="N70" s="265">
        <f t="shared" si="225"/>
        <v>388</v>
      </c>
      <c r="O70" s="265">
        <f t="shared" si="225"/>
        <v>310</v>
      </c>
      <c r="P70" s="265">
        <f t="shared" si="225"/>
        <v>341</v>
      </c>
      <c r="Q70" s="993">
        <f t="shared" si="225"/>
        <v>1425</v>
      </c>
      <c r="R70" s="265">
        <f t="shared" si="225"/>
        <v>388</v>
      </c>
      <c r="S70" s="265">
        <f t="shared" si="225"/>
        <v>306</v>
      </c>
      <c r="T70" s="265">
        <f t="shared" si="225"/>
        <v>407</v>
      </c>
      <c r="U70" s="265">
        <f t="shared" si="225"/>
        <v>398</v>
      </c>
      <c r="V70" s="993">
        <f t="shared" si="225"/>
        <v>1499</v>
      </c>
      <c r="W70" s="265">
        <f t="shared" si="225"/>
        <v>443</v>
      </c>
      <c r="X70" s="265">
        <f t="shared" si="225"/>
        <v>398</v>
      </c>
      <c r="Y70" s="265">
        <f t="shared" si="225"/>
        <v>462</v>
      </c>
      <c r="Z70" s="265">
        <f t="shared" si="225"/>
        <v>492</v>
      </c>
      <c r="AA70" s="993">
        <f t="shared" si="225"/>
        <v>1795</v>
      </c>
      <c r="AB70" s="265">
        <f t="shared" si="225"/>
        <v>438</v>
      </c>
      <c r="AC70" s="265">
        <f t="shared" si="225"/>
        <v>404</v>
      </c>
      <c r="AD70" s="265">
        <f t="shared" si="225"/>
        <v>435</v>
      </c>
      <c r="AE70" s="265">
        <f t="shared" si="225"/>
        <v>408</v>
      </c>
      <c r="AF70" s="993">
        <f t="shared" si="225"/>
        <v>1685</v>
      </c>
      <c r="AG70" s="265">
        <f t="shared" si="225"/>
        <v>495</v>
      </c>
      <c r="AH70" s="265">
        <f t="shared" si="225"/>
        <v>476</v>
      </c>
      <c r="AI70" s="265">
        <f t="shared" si="226" ref="AI70:AR70">AI49+AI60+AI65</f>
        <v>550</v>
      </c>
      <c r="AJ70" s="265">
        <f t="shared" si="226"/>
        <v>534</v>
      </c>
      <c r="AK70" s="993">
        <f t="shared" si="226"/>
        <v>2055</v>
      </c>
      <c r="AL70" s="265">
        <f t="shared" si="226"/>
        <v>576</v>
      </c>
      <c r="AM70" s="265">
        <f t="shared" si="226"/>
        <v>654</v>
      </c>
      <c r="AN70" s="265">
        <f t="shared" si="226"/>
        <v>649</v>
      </c>
      <c r="AO70" s="265">
        <f t="shared" si="226"/>
        <v>604</v>
      </c>
      <c r="AP70" s="993">
        <f t="shared" si="226"/>
        <v>2483</v>
      </c>
      <c r="AQ70" s="265">
        <f t="shared" si="226"/>
        <v>638</v>
      </c>
      <c r="AR70" s="265">
        <f t="shared" si="226"/>
        <v>612</v>
      </c>
      <c r="AS70" s="265">
        <f t="shared" si="227" ref="AS70:AX70">AS49+AS60+AS65</f>
        <v>657</v>
      </c>
      <c r="AT70" s="265">
        <f t="shared" si="227"/>
        <v>668</v>
      </c>
      <c r="AU70" s="993">
        <f t="shared" si="227"/>
        <v>2575</v>
      </c>
      <c r="AV70" s="265">
        <f t="shared" si="227"/>
        <v>644</v>
      </c>
      <c r="AW70" s="265">
        <f t="shared" si="227"/>
        <v>634</v>
      </c>
      <c r="AX70" s="265">
        <f t="shared" si="227"/>
        <v>644</v>
      </c>
      <c r="AY70" s="265">
        <f t="shared" si="228" ref="AY70:BJ70">AY49+AY60+AY65</f>
        <v>671</v>
      </c>
      <c r="AZ70" s="993">
        <f t="shared" si="228"/>
        <v>2593</v>
      </c>
      <c r="BA70" s="265">
        <f t="shared" si="229" ref="BA70:BI70">BA49+BA60+BA65</f>
        <v>705</v>
      </c>
      <c r="BB70" s="265">
        <f t="shared" si="229"/>
        <v>707</v>
      </c>
      <c r="BC70" s="265">
        <f t="shared" si="229"/>
        <v>696</v>
      </c>
      <c r="BD70" s="265">
        <f t="shared" si="229"/>
        <v>731</v>
      </c>
      <c r="BE70" s="993">
        <f t="shared" si="229"/>
        <v>2839</v>
      </c>
      <c r="BF70" s="265">
        <f>BF49+BF60+BF65</f>
        <v>815</v>
      </c>
      <c r="BG70" s="265">
        <f>BG49+BG60+BG65</f>
        <v>863</v>
      </c>
      <c r="BH70" s="745">
        <f>BH49+BH60+BH65</f>
        <v>838</v>
      </c>
      <c r="BI70" s="210">
        <f t="shared" si="229"/>
        <v>818.52431606000005</v>
      </c>
      <c r="BJ70" s="994">
        <f t="shared" si="228"/>
        <v>3334.5243160600003</v>
      </c>
      <c r="BK70" s="210">
        <f t="shared" si="230" ref="BK70:BR70">BK49+BK60+BK65</f>
        <v>837.69787111999995</v>
      </c>
      <c r="BL70" s="210">
        <f t="shared" si="230"/>
        <v>887.60524082999996</v>
      </c>
      <c r="BM70" s="210">
        <f t="shared" si="230"/>
        <v>917.53336784999988</v>
      </c>
      <c r="BN70" s="210">
        <f t="shared" si="230"/>
        <v>843.08004554180002</v>
      </c>
      <c r="BO70" s="994">
        <f t="shared" si="230"/>
        <v>3485.9165253417996</v>
      </c>
      <c r="BP70" s="994">
        <f t="shared" si="230"/>
        <v>3644.5602725051531</v>
      </c>
      <c r="BQ70" s="994">
        <f t="shared" si="230"/>
        <v>3681.1738273164951</v>
      </c>
      <c r="BR70" s="994">
        <f t="shared" si="230"/>
        <v>3941.9563907415736</v>
      </c>
      <c r="BS70" s="833"/>
    </row>
    <row r="71" spans="1:71" s="24" customFormat="1" ht="15">
      <c r="A71" s="60" t="s">
        <v>54</v>
      </c>
      <c r="B71" s="446"/>
      <c r="C71" s="995">
        <f t="shared" si="231" ref="C71:AH71">C53+C61+C66</f>
        <v>6824</v>
      </c>
      <c r="D71" s="995">
        <f t="shared" si="231"/>
        <v>7314</v>
      </c>
      <c r="E71" s="995">
        <f t="shared" si="231"/>
        <v>8708</v>
      </c>
      <c r="F71" s="995">
        <f t="shared" si="231"/>
        <v>7842</v>
      </c>
      <c r="G71" s="995">
        <f t="shared" si="231"/>
        <v>6592</v>
      </c>
      <c r="H71" s="186">
        <f t="shared" si="231"/>
        <v>1494</v>
      </c>
      <c r="I71" s="186">
        <f t="shared" si="231"/>
        <v>1788</v>
      </c>
      <c r="J71" s="186">
        <f t="shared" si="231"/>
        <v>1565</v>
      </c>
      <c r="K71" s="186">
        <f t="shared" si="231"/>
        <v>1547</v>
      </c>
      <c r="L71" s="995">
        <f t="shared" si="231"/>
        <v>6394</v>
      </c>
      <c r="M71" s="186">
        <f t="shared" si="231"/>
        <v>1493</v>
      </c>
      <c r="N71" s="186">
        <f t="shared" si="231"/>
        <v>1657</v>
      </c>
      <c r="O71" s="186">
        <f t="shared" si="231"/>
        <v>1586</v>
      </c>
      <c r="P71" s="186">
        <f t="shared" si="231"/>
        <v>1636</v>
      </c>
      <c r="Q71" s="995">
        <f t="shared" si="231"/>
        <v>6372</v>
      </c>
      <c r="R71" s="186">
        <f t="shared" si="231"/>
        <v>1908</v>
      </c>
      <c r="S71" s="186">
        <f t="shared" si="231"/>
        <v>2046</v>
      </c>
      <c r="T71" s="186">
        <f t="shared" si="231"/>
        <v>2023</v>
      </c>
      <c r="U71" s="186">
        <f t="shared" si="231"/>
        <v>2174</v>
      </c>
      <c r="V71" s="995">
        <f t="shared" si="231"/>
        <v>8151</v>
      </c>
      <c r="W71" s="186">
        <f t="shared" si="231"/>
        <v>2213</v>
      </c>
      <c r="X71" s="186">
        <f t="shared" si="231"/>
        <v>2387</v>
      </c>
      <c r="Y71" s="186">
        <f t="shared" si="231"/>
        <v>2372</v>
      </c>
      <c r="Z71" s="186">
        <f t="shared" si="231"/>
        <v>2634</v>
      </c>
      <c r="AA71" s="995">
        <f t="shared" si="231"/>
        <v>9606</v>
      </c>
      <c r="AB71" s="186">
        <f t="shared" si="231"/>
        <v>2350</v>
      </c>
      <c r="AC71" s="186">
        <f t="shared" si="231"/>
        <v>2599</v>
      </c>
      <c r="AD71" s="186">
        <f t="shared" si="231"/>
        <v>2477</v>
      </c>
      <c r="AE71" s="186">
        <f t="shared" si="231"/>
        <v>2646</v>
      </c>
      <c r="AF71" s="995">
        <f t="shared" si="231"/>
        <v>10072</v>
      </c>
      <c r="AG71" s="186">
        <f t="shared" si="231"/>
        <v>2286</v>
      </c>
      <c r="AH71" s="186">
        <f t="shared" si="231"/>
        <v>2606</v>
      </c>
      <c r="AI71" s="186">
        <f t="shared" si="232" ref="AI71:AR71">AI53+AI61+AI66</f>
        <v>2620</v>
      </c>
      <c r="AJ71" s="186">
        <f t="shared" si="232"/>
        <v>2404</v>
      </c>
      <c r="AK71" s="995">
        <f t="shared" si="232"/>
        <v>9916</v>
      </c>
      <c r="AL71" s="186">
        <f t="shared" si="232"/>
        <v>2409</v>
      </c>
      <c r="AM71" s="186">
        <f t="shared" si="232"/>
        <v>2580</v>
      </c>
      <c r="AN71" s="186">
        <f t="shared" si="232"/>
        <v>2459</v>
      </c>
      <c r="AO71" s="186">
        <f t="shared" si="232"/>
        <v>2457</v>
      </c>
      <c r="AP71" s="995">
        <f t="shared" si="232"/>
        <v>9905</v>
      </c>
      <c r="AQ71" s="186">
        <f t="shared" si="232"/>
        <v>2598</v>
      </c>
      <c r="AR71" s="186">
        <f t="shared" si="232"/>
        <v>2984</v>
      </c>
      <c r="AS71" s="186">
        <f t="shared" si="233" ref="AS71:AX71">AS53+AS61+AS66</f>
        <v>3227</v>
      </c>
      <c r="AT71" s="186">
        <f t="shared" si="233"/>
        <v>2880</v>
      </c>
      <c r="AU71" s="995">
        <f t="shared" si="233"/>
        <v>11689</v>
      </c>
      <c r="AV71" s="186">
        <f t="shared" si="233"/>
        <v>3009</v>
      </c>
      <c r="AW71" s="186">
        <f t="shared" si="233"/>
        <v>3645</v>
      </c>
      <c r="AX71" s="186">
        <f t="shared" si="233"/>
        <v>3664</v>
      </c>
      <c r="AY71" s="186">
        <f t="shared" si="234" ref="AY71:BJ71">AY53+AY61+AY66</f>
        <v>3715</v>
      </c>
      <c r="AZ71" s="995">
        <f t="shared" si="234"/>
        <v>14033</v>
      </c>
      <c r="BA71" s="186">
        <f t="shared" si="235" ref="BA71:BI71">BA53+BA61+BA66</f>
        <v>3591</v>
      </c>
      <c r="BB71" s="186">
        <f t="shared" si="235"/>
        <v>4504</v>
      </c>
      <c r="BC71" s="186">
        <f t="shared" si="235"/>
        <v>4249</v>
      </c>
      <c r="BD71" s="186">
        <f t="shared" si="235"/>
        <v>3487</v>
      </c>
      <c r="BE71" s="995">
        <f t="shared" si="235"/>
        <v>15831</v>
      </c>
      <c r="BF71" s="186">
        <f>BF53+BF61+BF66</f>
        <v>3924</v>
      </c>
      <c r="BG71" s="186">
        <f>BG53+BG61+BG66</f>
        <v>4487</v>
      </c>
      <c r="BH71" s="746">
        <f>BH53+BH61+BH66</f>
        <v>3943</v>
      </c>
      <c r="BI71" s="205">
        <f t="shared" si="235"/>
        <v>3657.9473302680003</v>
      </c>
      <c r="BJ71" s="996">
        <f t="shared" si="234"/>
        <v>16011.947330268</v>
      </c>
      <c r="BK71" s="205">
        <f t="shared" si="236" ref="BK71:BR71">BK53+BK61+BK66</f>
        <v>3456.3618432000003</v>
      </c>
      <c r="BL71" s="205">
        <f t="shared" si="236"/>
        <v>4628.3322115800001</v>
      </c>
      <c r="BM71" s="205">
        <f t="shared" si="236"/>
        <v>4749.7825267199996</v>
      </c>
      <c r="BN71" s="205">
        <f t="shared" si="236"/>
        <v>3877.4241700840807</v>
      </c>
      <c r="BO71" s="996">
        <f t="shared" si="236"/>
        <v>16711.900751584082</v>
      </c>
      <c r="BP71" s="996">
        <f t="shared" si="236"/>
        <v>17545.94472911616</v>
      </c>
      <c r="BQ71" s="996">
        <f t="shared" si="236"/>
        <v>18207.149804171277</v>
      </c>
      <c r="BR71" s="996">
        <f t="shared" si="236"/>
        <v>19714.623497634919</v>
      </c>
      <c r="BS71" s="833"/>
    </row>
    <row r="72" spans="1:71" s="181" customFormat="1" ht="15">
      <c r="A72" s="183" t="s">
        <v>55</v>
      </c>
      <c r="B72" s="451"/>
      <c r="C72" s="1008">
        <f t="shared" si="237" ref="C72:AM72">C69+C70+C71</f>
        <v>19550</v>
      </c>
      <c r="D72" s="1008">
        <f t="shared" si="237"/>
        <v>20391</v>
      </c>
      <c r="E72" s="1008">
        <f t="shared" si="237"/>
        <v>23652</v>
      </c>
      <c r="F72" s="1008">
        <f t="shared" si="237"/>
        <v>22173</v>
      </c>
      <c r="G72" s="1008">
        <f t="shared" si="237"/>
        <v>20865</v>
      </c>
      <c r="H72" s="185">
        <f t="shared" si="237"/>
        <v>5139</v>
      </c>
      <c r="I72" s="185">
        <f t="shared" si="237"/>
        <v>5783</v>
      </c>
      <c r="J72" s="185">
        <f t="shared" si="237"/>
        <v>5529</v>
      </c>
      <c r="K72" s="185">
        <f t="shared" si="237"/>
        <v>5222</v>
      </c>
      <c r="L72" s="1008">
        <f t="shared" si="237"/>
        <v>21673</v>
      </c>
      <c r="M72" s="185">
        <f t="shared" si="237"/>
        <v>5382</v>
      </c>
      <c r="N72" s="185">
        <f t="shared" si="237"/>
        <v>5535</v>
      </c>
      <c r="O72" s="185">
        <f t="shared" si="237"/>
        <v>5389</v>
      </c>
      <c r="P72" s="185">
        <f t="shared" si="237"/>
        <v>5365</v>
      </c>
      <c r="Q72" s="1008">
        <f t="shared" si="237"/>
        <v>21671</v>
      </c>
      <c r="R72" s="185">
        <f t="shared" si="237"/>
        <v>5670</v>
      </c>
      <c r="S72" s="185">
        <f t="shared" si="237"/>
        <v>5798</v>
      </c>
      <c r="T72" s="185">
        <f t="shared" si="237"/>
        <v>5917</v>
      </c>
      <c r="U72" s="185">
        <f t="shared" si="237"/>
        <v>5793</v>
      </c>
      <c r="V72" s="1008">
        <f t="shared" si="237"/>
        <v>23178</v>
      </c>
      <c r="W72" s="185">
        <f t="shared" si="237"/>
        <v>6085</v>
      </c>
      <c r="X72" s="185">
        <f t="shared" si="237"/>
        <v>6294</v>
      </c>
      <c r="Y72" s="185">
        <f t="shared" si="237"/>
        <v>6903</v>
      </c>
      <c r="Z72" s="185">
        <f t="shared" si="237"/>
        <v>6489</v>
      </c>
      <c r="AA72" s="1008">
        <f t="shared" si="237"/>
        <v>25771</v>
      </c>
      <c r="AB72" s="185">
        <f t="shared" si="237"/>
        <v>6410</v>
      </c>
      <c r="AC72" s="185">
        <f t="shared" si="237"/>
        <v>6749</v>
      </c>
      <c r="AD72" s="185">
        <f t="shared" si="237"/>
        <v>6823</v>
      </c>
      <c r="AE72" s="185">
        <f t="shared" si="237"/>
        <v>6957</v>
      </c>
      <c r="AF72" s="1008">
        <f t="shared" si="237"/>
        <v>26939</v>
      </c>
      <c r="AG72" s="185">
        <f t="shared" si="237"/>
        <v>6608</v>
      </c>
      <c r="AH72" s="185">
        <f t="shared" si="237"/>
        <v>7072</v>
      </c>
      <c r="AI72" s="185">
        <f t="shared" si="237"/>
        <v>7489</v>
      </c>
      <c r="AJ72" s="185">
        <f t="shared" si="237"/>
        <v>6895</v>
      </c>
      <c r="AK72" s="1008">
        <f t="shared" si="237"/>
        <v>28064</v>
      </c>
      <c r="AL72" s="185">
        <f t="shared" si="237"/>
        <v>7097</v>
      </c>
      <c r="AM72" s="185">
        <f t="shared" si="237"/>
        <v>7392</v>
      </c>
      <c r="AN72" s="185">
        <f>AN69+AN70+AN71</f>
        <v>7196</v>
      </c>
      <c r="AO72" s="185">
        <f t="shared" si="238" ref="AO72:AQ72">AO69+AO70+AO71</f>
        <v>6689</v>
      </c>
      <c r="AP72" s="1008">
        <f t="shared" si="238"/>
        <v>28374</v>
      </c>
      <c r="AQ72" s="185">
        <f t="shared" si="238"/>
        <v>7334</v>
      </c>
      <c r="AR72" s="185">
        <f t="shared" si="239" ref="AR72:AW72">AR69+AR70+AR71</f>
        <v>7465</v>
      </c>
      <c r="AS72" s="185">
        <f t="shared" si="239"/>
        <v>7924</v>
      </c>
      <c r="AT72" s="185">
        <f t="shared" si="239"/>
        <v>7266</v>
      </c>
      <c r="AU72" s="1008">
        <f t="shared" si="239"/>
        <v>29989</v>
      </c>
      <c r="AV72" s="185">
        <f t="shared" si="239"/>
        <v>7532</v>
      </c>
      <c r="AW72" s="185">
        <f t="shared" si="239"/>
        <v>8382</v>
      </c>
      <c r="AX72" s="185">
        <f t="shared" si="240" ref="AX72:BJ72">AX69+AX70+AX71</f>
        <v>8679</v>
      </c>
      <c r="AY72" s="185">
        <f t="shared" si="240"/>
        <v>8555</v>
      </c>
      <c r="AZ72" s="1008">
        <f t="shared" si="240"/>
        <v>33148</v>
      </c>
      <c r="BA72" s="185">
        <f t="shared" si="241" ref="BA72:BI72">BA69+BA70+BA71</f>
        <v>8679</v>
      </c>
      <c r="BB72" s="185">
        <f t="shared" si="241"/>
        <v>10044</v>
      </c>
      <c r="BC72" s="185">
        <f t="shared" si="241"/>
        <v>10056</v>
      </c>
      <c r="BD72" s="185">
        <f t="shared" si="241"/>
        <v>8801</v>
      </c>
      <c r="BE72" s="1008">
        <f t="shared" si="241"/>
        <v>37580</v>
      </c>
      <c r="BF72" s="185">
        <f>BF69+BF70+BF71</f>
        <v>9752</v>
      </c>
      <c r="BG72" s="185">
        <f>BG69+BG70+BG71</f>
        <v>10517</v>
      </c>
      <c r="BH72" s="749">
        <f>BH69+BH70+BH71</f>
        <v>10235</v>
      </c>
      <c r="BI72" s="199">
        <f t="shared" si="241"/>
        <v>9540.562685588</v>
      </c>
      <c r="BJ72" s="1009">
        <f t="shared" si="240"/>
        <v>40044.562685588004</v>
      </c>
      <c r="BK72" s="199">
        <f t="shared" si="242" ref="BK72:BR72">BK69+BK70+BK71</f>
        <v>10250.097959204</v>
      </c>
      <c r="BL72" s="199">
        <f t="shared" si="242"/>
        <v>11360.279509161001</v>
      </c>
      <c r="BM72" s="199">
        <f t="shared" si="242"/>
        <v>11456.907586707001</v>
      </c>
      <c r="BN72" s="199">
        <f t="shared" si="242"/>
        <v>9936.5179860636817</v>
      </c>
      <c r="BO72" s="1009">
        <f t="shared" si="242"/>
        <v>43003.803041135689</v>
      </c>
      <c r="BP72" s="1009">
        <f t="shared" si="242"/>
        <v>43512.36396674953</v>
      </c>
      <c r="BQ72" s="1009">
        <f t="shared" si="242"/>
        <v>44272.312143886025</v>
      </c>
      <c r="BR72" s="1009">
        <f t="shared" si="242"/>
        <v>46653.117040725701</v>
      </c>
      <c r="BS72" s="423"/>
    </row>
    <row r="73" spans="1:71" s="24" customFormat="1" ht="15">
      <c r="A73" s="453"/>
      <c r="B73" s="445"/>
      <c r="C73" s="994"/>
      <c r="D73" s="994"/>
      <c r="E73" s="994"/>
      <c r="F73" s="994"/>
      <c r="G73" s="994"/>
      <c r="H73" s="210"/>
      <c r="I73" s="210"/>
      <c r="J73" s="210"/>
      <c r="K73" s="210"/>
      <c r="L73" s="994"/>
      <c r="M73" s="210"/>
      <c r="N73" s="210"/>
      <c r="O73" s="210"/>
      <c r="P73" s="210"/>
      <c r="Q73" s="994"/>
      <c r="R73" s="210"/>
      <c r="S73" s="210"/>
      <c r="T73" s="210"/>
      <c r="U73" s="210"/>
      <c r="V73" s="994"/>
      <c r="W73" s="210"/>
      <c r="X73" s="210"/>
      <c r="Y73" s="210"/>
      <c r="Z73" s="210"/>
      <c r="AA73" s="994"/>
      <c r="AB73" s="210"/>
      <c r="AC73" s="210"/>
      <c r="AD73" s="210"/>
      <c r="AE73" s="210"/>
      <c r="AF73" s="994"/>
      <c r="AG73" s="210"/>
      <c r="AH73" s="210"/>
      <c r="AI73" s="210"/>
      <c r="AJ73" s="210"/>
      <c r="AK73" s="994"/>
      <c r="AL73" s="210"/>
      <c r="AM73" s="210"/>
      <c r="AN73" s="210"/>
      <c r="AO73" s="210"/>
      <c r="AP73" s="994"/>
      <c r="AQ73" s="210"/>
      <c r="AR73" s="210"/>
      <c r="AS73" s="210"/>
      <c r="AT73" s="210"/>
      <c r="AU73" s="994"/>
      <c r="AV73" s="210"/>
      <c r="AW73" s="210"/>
      <c r="AX73" s="210"/>
      <c r="AY73" s="210"/>
      <c r="AZ73" s="994"/>
      <c r="BA73" s="210"/>
      <c r="BB73" s="210"/>
      <c r="BC73" s="210"/>
      <c r="BD73" s="210"/>
      <c r="BE73" s="994"/>
      <c r="BF73" s="210"/>
      <c r="BG73" s="210"/>
      <c r="BH73" s="553"/>
      <c r="BI73" s="210"/>
      <c r="BJ73" s="994"/>
      <c r="BK73" s="210"/>
      <c r="BL73" s="210"/>
      <c r="BM73" s="210"/>
      <c r="BN73" s="210"/>
      <c r="BO73" s="994"/>
      <c r="BP73" s="994"/>
      <c r="BQ73" s="994"/>
      <c r="BR73" s="994"/>
      <c r="BS73" s="833"/>
    </row>
    <row r="74" spans="1:71" s="24" customFormat="1" ht="15">
      <c r="A74" s="263" t="s">
        <v>56</v>
      </c>
      <c r="B74" s="445"/>
      <c r="C74" s="993">
        <f t="shared" si="243" ref="C74:AH74">C36-C69</f>
        <v>1190</v>
      </c>
      <c r="D74" s="993">
        <f t="shared" si="243"/>
        <v>609</v>
      </c>
      <c r="E74" s="993">
        <f t="shared" si="243"/>
        <v>-879</v>
      </c>
      <c r="F74" s="993">
        <f t="shared" si="243"/>
        <v>-70</v>
      </c>
      <c r="G74" s="993">
        <f t="shared" si="243"/>
        <v>520</v>
      </c>
      <c r="H74" s="265">
        <f t="shared" si="243"/>
        <v>262</v>
      </c>
      <c r="I74" s="265">
        <f t="shared" si="243"/>
        <v>-57</v>
      </c>
      <c r="J74" s="265">
        <f t="shared" si="243"/>
        <v>50</v>
      </c>
      <c r="K74" s="265">
        <f t="shared" si="243"/>
        <v>250</v>
      </c>
      <c r="L74" s="993">
        <f t="shared" si="243"/>
        <v>505</v>
      </c>
      <c r="M74" s="265">
        <f t="shared" si="243"/>
        <v>117</v>
      </c>
      <c r="N74" s="265">
        <f t="shared" si="243"/>
        <v>119</v>
      </c>
      <c r="O74" s="265">
        <f t="shared" si="243"/>
        <v>160</v>
      </c>
      <c r="P74" s="265">
        <f t="shared" si="243"/>
        <v>251</v>
      </c>
      <c r="Q74" s="993">
        <f t="shared" si="243"/>
        <v>647</v>
      </c>
      <c r="R74" s="265">
        <f t="shared" si="243"/>
        <v>40</v>
      </c>
      <c r="S74" s="265">
        <f t="shared" si="243"/>
        <v>-7</v>
      </c>
      <c r="T74" s="265">
        <f t="shared" si="243"/>
        <v>10</v>
      </c>
      <c r="U74" s="265">
        <f t="shared" si="243"/>
        <v>284</v>
      </c>
      <c r="V74" s="993">
        <f t="shared" si="243"/>
        <v>327</v>
      </c>
      <c r="W74" s="265">
        <f t="shared" si="243"/>
        <v>0</v>
      </c>
      <c r="X74" s="265">
        <f t="shared" si="243"/>
        <v>-5</v>
      </c>
      <c r="Y74" s="265">
        <f t="shared" si="243"/>
        <v>-493</v>
      </c>
      <c r="Z74" s="265">
        <f t="shared" si="243"/>
        <v>274</v>
      </c>
      <c r="AA74" s="993">
        <f t="shared" si="243"/>
        <v>-224</v>
      </c>
      <c r="AB74" s="265">
        <f t="shared" si="243"/>
        <v>-54</v>
      </c>
      <c r="AC74" s="265">
        <f t="shared" si="243"/>
        <v>-105</v>
      </c>
      <c r="AD74" s="265">
        <f t="shared" si="243"/>
        <v>-168</v>
      </c>
      <c r="AE74" s="265">
        <f t="shared" si="243"/>
        <v>-133</v>
      </c>
      <c r="AF74" s="993">
        <f t="shared" si="243"/>
        <v>-460</v>
      </c>
      <c r="AG74" s="265">
        <f t="shared" si="243"/>
        <v>-85</v>
      </c>
      <c r="AH74" s="265">
        <f t="shared" si="243"/>
        <v>-207</v>
      </c>
      <c r="AI74" s="265">
        <f t="shared" si="244" ref="AI74:AR74">AI36-AI69</f>
        <v>-437</v>
      </c>
      <c r="AJ74" s="265">
        <f t="shared" si="244"/>
        <v>-64</v>
      </c>
      <c r="AK74" s="993">
        <f t="shared" si="244"/>
        <v>-793</v>
      </c>
      <c r="AL74" s="265">
        <f t="shared" si="244"/>
        <v>-248</v>
      </c>
      <c r="AM74" s="265">
        <f t="shared" si="244"/>
        <v>-423</v>
      </c>
      <c r="AN74" s="265">
        <f t="shared" si="244"/>
        <v>-247</v>
      </c>
      <c r="AO74" s="265">
        <f t="shared" si="244"/>
        <v>226</v>
      </c>
      <c r="AP74" s="993">
        <f t="shared" si="244"/>
        <v>-692</v>
      </c>
      <c r="AQ74" s="265">
        <f t="shared" si="244"/>
        <v>-299</v>
      </c>
      <c r="AR74" s="265">
        <f t="shared" si="244"/>
        <v>11</v>
      </c>
      <c r="AS74" s="265">
        <f t="shared" si="245" ref="AS74:AU76">AS36-AS69</f>
        <v>-70</v>
      </c>
      <c r="AT74" s="265">
        <f t="shared" si="245"/>
        <v>367</v>
      </c>
      <c r="AU74" s="993">
        <f t="shared" si="245"/>
        <v>9</v>
      </c>
      <c r="AV74" s="265">
        <f t="shared" si="246" ref="AV74:AW76">AV36-AV69</f>
        <v>192</v>
      </c>
      <c r="AW74" s="265">
        <f t="shared" si="246"/>
        <v>115</v>
      </c>
      <c r="AX74" s="265">
        <f t="shared" si="247" ref="AX74:AZ76">AX36-AX69</f>
        <v>-18</v>
      </c>
      <c r="AY74" s="265">
        <f t="shared" si="247"/>
        <v>284</v>
      </c>
      <c r="AZ74" s="993">
        <f t="shared" si="247"/>
        <v>573</v>
      </c>
      <c r="BA74" s="265">
        <f t="shared" si="248" ref="BA74:BB76">BA36-BA69</f>
        <v>94</v>
      </c>
      <c r="BB74" s="265">
        <f t="shared" si="249" ref="BB74:BI74">BB36-BB69</f>
        <v>-189</v>
      </c>
      <c r="BC74" s="265">
        <f t="shared" si="249"/>
        <v>-155</v>
      </c>
      <c r="BD74" s="265">
        <f t="shared" si="249"/>
        <v>484</v>
      </c>
      <c r="BE74" s="993">
        <f t="shared" si="249"/>
        <v>234</v>
      </c>
      <c r="BF74" s="265">
        <f t="shared" si="250" ref="BF74:BG76">BF36-BF69</f>
        <v>147</v>
      </c>
      <c r="BG74" s="265">
        <f t="shared" si="250"/>
        <v>1</v>
      </c>
      <c r="BH74" s="745">
        <f>BH36-BH69</f>
        <v>20</v>
      </c>
      <c r="BI74" s="210">
        <f t="shared" si="249"/>
        <v>51.15243473999999</v>
      </c>
      <c r="BJ74" s="994">
        <f t="shared" si="251" ref="BJ74:BJ76">BJ36-BJ69</f>
        <v>219.15243473999726</v>
      </c>
      <c r="BK74" s="210">
        <f t="shared" si="252" ref="BK74:BR76">BK36-BK69</f>
        <v>35.951941115999944</v>
      </c>
      <c r="BL74" s="210">
        <f t="shared" si="252"/>
        <v>5.850192249000429</v>
      </c>
      <c r="BM74" s="210">
        <f t="shared" si="252"/>
        <v>64.39384086300015</v>
      </c>
      <c r="BN74" s="210">
        <f t="shared" si="252"/>
        <v>52.687007782199544</v>
      </c>
      <c r="BO74" s="994">
        <f t="shared" si="252"/>
        <v>158.88298201020007</v>
      </c>
      <c r="BP74" s="994">
        <f t="shared" si="252"/>
        <v>67.167078129776201</v>
      </c>
      <c r="BQ74" s="994">
        <f t="shared" si="252"/>
        <v>340.8729215086023</v>
      </c>
      <c r="BR74" s="994">
        <f t="shared" si="252"/>
        <v>69.197203066247312</v>
      </c>
      <c r="BS74" s="833"/>
    </row>
    <row r="75" spans="1:71" s="24" customFormat="1" ht="15">
      <c r="A75" s="263" t="s">
        <v>57</v>
      </c>
      <c r="B75" s="445"/>
      <c r="C75" s="993">
        <f t="shared" si="253" ref="C75:AH75">C37-C70</f>
        <v>385</v>
      </c>
      <c r="D75" s="993">
        <f t="shared" si="253"/>
        <v>397</v>
      </c>
      <c r="E75" s="993">
        <f t="shared" si="253"/>
        <v>436</v>
      </c>
      <c r="F75" s="993">
        <f t="shared" si="253"/>
        <v>475</v>
      </c>
      <c r="G75" s="993">
        <f t="shared" si="253"/>
        <v>520</v>
      </c>
      <c r="H75" s="265">
        <f t="shared" si="253"/>
        <v>154</v>
      </c>
      <c r="I75" s="265">
        <f t="shared" si="253"/>
        <v>217</v>
      </c>
      <c r="J75" s="265">
        <f t="shared" si="253"/>
        <v>173</v>
      </c>
      <c r="K75" s="265">
        <f t="shared" si="253"/>
        <v>260</v>
      </c>
      <c r="L75" s="993">
        <f t="shared" si="253"/>
        <v>804</v>
      </c>
      <c r="M75" s="265">
        <f t="shared" si="253"/>
        <v>118</v>
      </c>
      <c r="N75" s="265">
        <f t="shared" si="253"/>
        <v>136</v>
      </c>
      <c r="O75" s="265">
        <f t="shared" si="253"/>
        <v>229</v>
      </c>
      <c r="P75" s="265">
        <f t="shared" si="253"/>
        <v>177</v>
      </c>
      <c r="Q75" s="993">
        <f t="shared" si="253"/>
        <v>660</v>
      </c>
      <c r="R75" s="265">
        <f t="shared" si="253"/>
        <v>164</v>
      </c>
      <c r="S75" s="265">
        <f t="shared" si="253"/>
        <v>253</v>
      </c>
      <c r="T75" s="265">
        <f t="shared" si="253"/>
        <v>166</v>
      </c>
      <c r="U75" s="265">
        <f t="shared" si="253"/>
        <v>178</v>
      </c>
      <c r="V75" s="993">
        <f t="shared" si="253"/>
        <v>761</v>
      </c>
      <c r="W75" s="265">
        <f t="shared" si="253"/>
        <v>112</v>
      </c>
      <c r="X75" s="265">
        <f t="shared" si="253"/>
        <v>177</v>
      </c>
      <c r="Y75" s="265">
        <f t="shared" si="253"/>
        <v>129</v>
      </c>
      <c r="Z75" s="265">
        <f t="shared" si="253"/>
        <v>94</v>
      </c>
      <c r="AA75" s="993">
        <f t="shared" si="253"/>
        <v>512</v>
      </c>
      <c r="AB75" s="265">
        <f t="shared" si="253"/>
        <v>144</v>
      </c>
      <c r="AC75" s="265">
        <f t="shared" si="253"/>
        <v>197</v>
      </c>
      <c r="AD75" s="265">
        <f t="shared" si="253"/>
        <v>182</v>
      </c>
      <c r="AE75" s="265">
        <f t="shared" si="253"/>
        <v>212</v>
      </c>
      <c r="AF75" s="993">
        <f t="shared" si="253"/>
        <v>735</v>
      </c>
      <c r="AG75" s="265">
        <f t="shared" si="253"/>
        <v>111</v>
      </c>
      <c r="AH75" s="265">
        <f t="shared" si="253"/>
        <v>156</v>
      </c>
      <c r="AI75" s="265">
        <f t="shared" si="254" ref="AI75:AR75">AI37-AI70</f>
        <v>103</v>
      </c>
      <c r="AJ75" s="265">
        <f t="shared" si="254"/>
        <v>140</v>
      </c>
      <c r="AK75" s="993">
        <f t="shared" si="254"/>
        <v>510</v>
      </c>
      <c r="AL75" s="265">
        <f t="shared" si="254"/>
        <v>91</v>
      </c>
      <c r="AM75" s="265">
        <f t="shared" si="254"/>
        <v>39</v>
      </c>
      <c r="AN75" s="265">
        <f t="shared" si="254"/>
        <v>74</v>
      </c>
      <c r="AO75" s="265">
        <f t="shared" si="254"/>
        <v>136</v>
      </c>
      <c r="AP75" s="993">
        <f t="shared" si="254"/>
        <v>340</v>
      </c>
      <c r="AQ75" s="265">
        <f t="shared" si="254"/>
        <v>105</v>
      </c>
      <c r="AR75" s="265">
        <f t="shared" si="254"/>
        <v>164</v>
      </c>
      <c r="AS75" s="265">
        <f t="shared" si="245"/>
        <v>149</v>
      </c>
      <c r="AT75" s="265">
        <f t="shared" si="245"/>
        <v>145</v>
      </c>
      <c r="AU75" s="993">
        <f t="shared" si="245"/>
        <v>563</v>
      </c>
      <c r="AV75" s="265">
        <f t="shared" si="246"/>
        <v>176</v>
      </c>
      <c r="AW75" s="265">
        <f t="shared" si="246"/>
        <v>217</v>
      </c>
      <c r="AX75" s="265">
        <f t="shared" si="247"/>
        <v>233</v>
      </c>
      <c r="AY75" s="265">
        <f t="shared" si="247"/>
        <v>199</v>
      </c>
      <c r="AZ75" s="993">
        <f t="shared" si="247"/>
        <v>825</v>
      </c>
      <c r="BA75" s="265">
        <f t="shared" si="248"/>
        <v>170</v>
      </c>
      <c r="BB75" s="265">
        <f t="shared" si="248"/>
        <v>204</v>
      </c>
      <c r="BC75" s="265">
        <f t="shared" si="255" ref="BC75:BI76">BC37-BC70</f>
        <v>239</v>
      </c>
      <c r="BD75" s="265">
        <f t="shared" si="255"/>
        <v>203</v>
      </c>
      <c r="BE75" s="993">
        <f t="shared" si="255"/>
        <v>816</v>
      </c>
      <c r="BF75" s="265">
        <f t="shared" si="250"/>
        <v>141</v>
      </c>
      <c r="BG75" s="265">
        <f t="shared" si="250"/>
        <v>114</v>
      </c>
      <c r="BH75" s="745">
        <f>BH37-BH70</f>
        <v>171</v>
      </c>
      <c r="BI75" s="210">
        <f t="shared" si="255"/>
        <v>141.05870393999999</v>
      </c>
      <c r="BJ75" s="994">
        <f t="shared" si="251"/>
        <v>567.05870393999976</v>
      </c>
      <c r="BK75" s="210">
        <f t="shared" si="252"/>
        <v>136.36942088000001</v>
      </c>
      <c r="BL75" s="210">
        <f t="shared" si="252"/>
        <v>132.63066817000004</v>
      </c>
      <c r="BM75" s="210">
        <f t="shared" si="252"/>
        <v>137.10268715000007</v>
      </c>
      <c r="BN75" s="210">
        <f t="shared" si="252"/>
        <v>145.29046505820008</v>
      </c>
      <c r="BO75" s="994">
        <f t="shared" si="252"/>
        <v>551.39324125820031</v>
      </c>
      <c r="BP75" s="994">
        <f t="shared" si="252"/>
        <v>554.24188475884876</v>
      </c>
      <c r="BQ75" s="994">
        <f t="shared" si="252"/>
        <v>685.58041623806594</v>
      </c>
      <c r="BR75" s="994">
        <f t="shared" si="252"/>
        <v>599.46802255517059</v>
      </c>
      <c r="BS75" s="833"/>
    </row>
    <row r="76" spans="1:71" s="24" customFormat="1" ht="15">
      <c r="A76" s="60" t="s">
        <v>58</v>
      </c>
      <c r="B76" s="446"/>
      <c r="C76" s="995">
        <f t="shared" si="256" ref="C76:AH76">C38-C71</f>
        <v>293</v>
      </c>
      <c r="D76" s="995">
        <f t="shared" si="256"/>
        <v>35</v>
      </c>
      <c r="E76" s="995">
        <f t="shared" si="256"/>
        <v>-1119</v>
      </c>
      <c r="F76" s="995">
        <f t="shared" si="256"/>
        <v>-221</v>
      </c>
      <c r="G76" s="995">
        <f t="shared" si="256"/>
        <v>732</v>
      </c>
      <c r="H76" s="186">
        <f t="shared" si="256"/>
        <v>268</v>
      </c>
      <c r="I76" s="186">
        <f t="shared" si="256"/>
        <v>-15</v>
      </c>
      <c r="J76" s="186">
        <f t="shared" si="256"/>
        <v>231</v>
      </c>
      <c r="K76" s="186">
        <f t="shared" si="256"/>
        <v>247</v>
      </c>
      <c r="L76" s="995">
        <f t="shared" si="256"/>
        <v>731</v>
      </c>
      <c r="M76" s="186">
        <f t="shared" si="256"/>
        <v>271</v>
      </c>
      <c r="N76" s="186">
        <f t="shared" si="256"/>
        <v>141</v>
      </c>
      <c r="O76" s="186">
        <f t="shared" si="256"/>
        <v>254</v>
      </c>
      <c r="P76" s="186">
        <f t="shared" si="256"/>
        <v>230</v>
      </c>
      <c r="Q76" s="995">
        <f t="shared" si="256"/>
        <v>896</v>
      </c>
      <c r="R76" s="186">
        <f t="shared" si="256"/>
        <v>107</v>
      </c>
      <c r="S76" s="186">
        <f t="shared" si="256"/>
        <v>23</v>
      </c>
      <c r="T76" s="186">
        <f t="shared" si="256"/>
        <v>116</v>
      </c>
      <c r="U76" s="186">
        <f t="shared" si="256"/>
        <v>22</v>
      </c>
      <c r="V76" s="995">
        <f t="shared" si="256"/>
        <v>268</v>
      </c>
      <c r="W76" s="186">
        <f t="shared" si="256"/>
        <v>-14</v>
      </c>
      <c r="X76" s="186">
        <f t="shared" si="256"/>
        <v>-115</v>
      </c>
      <c r="Y76" s="186">
        <f t="shared" si="256"/>
        <v>-16</v>
      </c>
      <c r="Z76" s="186">
        <f t="shared" si="256"/>
        <v>-231</v>
      </c>
      <c r="AA76" s="995">
        <f t="shared" si="256"/>
        <v>-376</v>
      </c>
      <c r="AB76" s="186">
        <f t="shared" si="256"/>
        <v>37</v>
      </c>
      <c r="AC76" s="186">
        <f t="shared" si="256"/>
        <v>-146</v>
      </c>
      <c r="AD76" s="186">
        <f t="shared" si="256"/>
        <v>45</v>
      </c>
      <c r="AE76" s="186">
        <f t="shared" si="256"/>
        <v>-91</v>
      </c>
      <c r="AF76" s="995">
        <f t="shared" si="256"/>
        <v>-155</v>
      </c>
      <c r="AG76" s="186">
        <f t="shared" si="256"/>
        <v>221</v>
      </c>
      <c r="AH76" s="186">
        <f t="shared" si="256"/>
        <v>-33</v>
      </c>
      <c r="AI76" s="186">
        <f t="shared" si="257" ref="AI76:AR76">AI38-AI71</f>
        <v>24</v>
      </c>
      <c r="AJ76" s="186">
        <f t="shared" si="257"/>
        <v>279</v>
      </c>
      <c r="AK76" s="995">
        <f t="shared" si="257"/>
        <v>491</v>
      </c>
      <c r="AL76" s="186">
        <f t="shared" si="257"/>
        <v>289</v>
      </c>
      <c r="AM76" s="186">
        <f t="shared" si="257"/>
        <v>-53</v>
      </c>
      <c r="AN76" s="186">
        <f t="shared" si="257"/>
        <v>357</v>
      </c>
      <c r="AO76" s="186">
        <f t="shared" si="257"/>
        <v>429</v>
      </c>
      <c r="AP76" s="995">
        <f t="shared" si="257"/>
        <v>1022</v>
      </c>
      <c r="AQ76" s="186">
        <f t="shared" si="257"/>
        <v>246</v>
      </c>
      <c r="AR76" s="186">
        <f t="shared" si="257"/>
        <v>-24</v>
      </c>
      <c r="AS76" s="186">
        <f t="shared" si="245"/>
        <v>-174</v>
      </c>
      <c r="AT76" s="186">
        <f t="shared" si="245"/>
        <v>246</v>
      </c>
      <c r="AU76" s="995">
        <f t="shared" si="245"/>
        <v>294</v>
      </c>
      <c r="AV76" s="186">
        <f t="shared" si="246"/>
        <v>114</v>
      </c>
      <c r="AW76" s="186">
        <f t="shared" si="246"/>
        <v>-397</v>
      </c>
      <c r="AX76" s="186">
        <f t="shared" si="247"/>
        <v>-279</v>
      </c>
      <c r="AY76" s="186">
        <f t="shared" si="247"/>
        <v>-221</v>
      </c>
      <c r="AZ76" s="995">
        <f t="shared" si="247"/>
        <v>-783</v>
      </c>
      <c r="BA76" s="186">
        <f t="shared" si="248"/>
        <v>-89</v>
      </c>
      <c r="BB76" s="186">
        <f t="shared" si="248"/>
        <v>-843</v>
      </c>
      <c r="BC76" s="186">
        <f t="shared" si="255"/>
        <v>-422</v>
      </c>
      <c r="BD76" s="186">
        <f t="shared" si="255"/>
        <v>485</v>
      </c>
      <c r="BE76" s="995">
        <f t="shared" si="255"/>
        <v>-869</v>
      </c>
      <c r="BF76" s="186">
        <f t="shared" si="250"/>
        <v>86</v>
      </c>
      <c r="BG76" s="186">
        <f t="shared" si="250"/>
        <v>-389</v>
      </c>
      <c r="BH76" s="746">
        <f>BH38-BH71</f>
        <v>278</v>
      </c>
      <c r="BI76" s="205">
        <f t="shared" si="255"/>
        <v>456.72908173199949</v>
      </c>
      <c r="BJ76" s="996">
        <f t="shared" si="251"/>
        <v>431.72908173200085</v>
      </c>
      <c r="BK76" s="205">
        <f t="shared" si="252"/>
        <v>384.04020480000008</v>
      </c>
      <c r="BL76" s="205">
        <f t="shared" si="252"/>
        <v>70.482216419999531</v>
      </c>
      <c r="BM76" s="205">
        <f t="shared" si="252"/>
        <v>197.9076052800001</v>
      </c>
      <c r="BN76" s="205">
        <f t="shared" si="252"/>
        <v>484.13282663592008</v>
      </c>
      <c r="BO76" s="996">
        <f t="shared" si="252"/>
        <v>1136.562853135918</v>
      </c>
      <c r="BP76" s="996">
        <f t="shared" si="252"/>
        <v>923.47077521663959</v>
      </c>
      <c r="BQ76" s="996">
        <f t="shared" si="252"/>
        <v>1370.4306304214952</v>
      </c>
      <c r="BR76" s="996">
        <f t="shared" si="252"/>
        <v>1037.6117630334193</v>
      </c>
      <c r="BS76" s="833"/>
    </row>
    <row r="77" spans="1:71" s="181" customFormat="1" ht="15">
      <c r="A77" s="62" t="s">
        <v>59</v>
      </c>
      <c r="B77" s="447"/>
      <c r="C77" s="999">
        <f t="shared" si="258" ref="C77:AM77">SUM(C74:C76)</f>
        <v>1868</v>
      </c>
      <c r="D77" s="997">
        <f t="shared" si="258"/>
        <v>1041</v>
      </c>
      <c r="E77" s="997">
        <f t="shared" si="258"/>
        <v>-1562</v>
      </c>
      <c r="F77" s="997">
        <f t="shared" si="258"/>
        <v>184</v>
      </c>
      <c r="G77" s="997">
        <f t="shared" si="258"/>
        <v>1772</v>
      </c>
      <c r="H77" s="193">
        <f t="shared" si="258"/>
        <v>684</v>
      </c>
      <c r="I77" s="193">
        <f t="shared" si="258"/>
        <v>145</v>
      </c>
      <c r="J77" s="193">
        <f t="shared" si="258"/>
        <v>454</v>
      </c>
      <c r="K77" s="193">
        <f t="shared" si="258"/>
        <v>757</v>
      </c>
      <c r="L77" s="997">
        <f t="shared" si="258"/>
        <v>2040</v>
      </c>
      <c r="M77" s="193">
        <f t="shared" si="258"/>
        <v>506</v>
      </c>
      <c r="N77" s="193">
        <f t="shared" si="258"/>
        <v>396</v>
      </c>
      <c r="O77" s="193">
        <f t="shared" si="258"/>
        <v>643</v>
      </c>
      <c r="P77" s="193">
        <f t="shared" si="258"/>
        <v>658</v>
      </c>
      <c r="Q77" s="997">
        <f t="shared" si="258"/>
        <v>2203</v>
      </c>
      <c r="R77" s="193">
        <f t="shared" si="258"/>
        <v>311</v>
      </c>
      <c r="S77" s="193">
        <f t="shared" si="258"/>
        <v>269</v>
      </c>
      <c r="T77" s="193">
        <f t="shared" si="258"/>
        <v>292</v>
      </c>
      <c r="U77" s="193">
        <f t="shared" si="258"/>
        <v>484</v>
      </c>
      <c r="V77" s="997">
        <f t="shared" si="258"/>
        <v>1356</v>
      </c>
      <c r="W77" s="193">
        <f t="shared" si="258"/>
        <v>98</v>
      </c>
      <c r="X77" s="193">
        <f t="shared" si="258"/>
        <v>57</v>
      </c>
      <c r="Y77" s="193">
        <f t="shared" si="258"/>
        <v>-380</v>
      </c>
      <c r="Z77" s="193">
        <f t="shared" si="258"/>
        <v>137</v>
      </c>
      <c r="AA77" s="997">
        <f t="shared" si="258"/>
        <v>-88</v>
      </c>
      <c r="AB77" s="193">
        <f t="shared" si="258"/>
        <v>127</v>
      </c>
      <c r="AC77" s="193">
        <f t="shared" si="258"/>
        <v>-54</v>
      </c>
      <c r="AD77" s="193">
        <f t="shared" si="258"/>
        <v>59</v>
      </c>
      <c r="AE77" s="193">
        <f t="shared" si="258"/>
        <v>-12</v>
      </c>
      <c r="AF77" s="997">
        <f t="shared" si="258"/>
        <v>120</v>
      </c>
      <c r="AG77" s="193">
        <f t="shared" si="258"/>
        <v>247</v>
      </c>
      <c r="AH77" s="193">
        <f t="shared" si="258"/>
        <v>-84</v>
      </c>
      <c r="AI77" s="193">
        <f t="shared" si="258"/>
        <v>-310</v>
      </c>
      <c r="AJ77" s="193">
        <f t="shared" si="258"/>
        <v>355</v>
      </c>
      <c r="AK77" s="997">
        <f t="shared" si="258"/>
        <v>208</v>
      </c>
      <c r="AL77" s="193">
        <f t="shared" si="258"/>
        <v>132</v>
      </c>
      <c r="AM77" s="193">
        <f t="shared" si="258"/>
        <v>-437</v>
      </c>
      <c r="AN77" s="193">
        <f>SUM(AN74:AN76)</f>
        <v>184</v>
      </c>
      <c r="AO77" s="193">
        <f t="shared" si="259" ref="AO77:AP77">SUM(AO74:AO76)</f>
        <v>791</v>
      </c>
      <c r="AP77" s="997">
        <f t="shared" si="259"/>
        <v>670</v>
      </c>
      <c r="AQ77" s="193">
        <f t="shared" si="260" ref="AQ77">SUM(AQ74:AQ76)</f>
        <v>52</v>
      </c>
      <c r="AR77" s="193">
        <f t="shared" si="261" ref="AR77:AW77">SUM(AR74:AR76)</f>
        <v>151</v>
      </c>
      <c r="AS77" s="193">
        <f t="shared" si="261"/>
        <v>-95</v>
      </c>
      <c r="AT77" s="193">
        <f t="shared" si="261"/>
        <v>758</v>
      </c>
      <c r="AU77" s="997">
        <f t="shared" si="261"/>
        <v>866</v>
      </c>
      <c r="AV77" s="193">
        <f t="shared" si="261"/>
        <v>482</v>
      </c>
      <c r="AW77" s="193">
        <f t="shared" si="261"/>
        <v>-65</v>
      </c>
      <c r="AX77" s="193">
        <f t="shared" si="262" ref="AX77:BJ77">SUM(AX74:AX76)</f>
        <v>-64</v>
      </c>
      <c r="AY77" s="193">
        <f t="shared" si="262"/>
        <v>262</v>
      </c>
      <c r="AZ77" s="997">
        <f t="shared" si="262"/>
        <v>615</v>
      </c>
      <c r="BA77" s="193">
        <f t="shared" si="263" ref="BA77:BI77">SUM(BA74:BA76)</f>
        <v>175</v>
      </c>
      <c r="BB77" s="193">
        <f t="shared" si="263"/>
        <v>-828</v>
      </c>
      <c r="BC77" s="193">
        <f t="shared" si="263"/>
        <v>-338</v>
      </c>
      <c r="BD77" s="193">
        <f t="shared" si="263"/>
        <v>1172</v>
      </c>
      <c r="BE77" s="997">
        <f t="shared" si="263"/>
        <v>181</v>
      </c>
      <c r="BF77" s="193">
        <f>SUM(BF74:BF76)</f>
        <v>374</v>
      </c>
      <c r="BG77" s="193">
        <f>SUM(BG74:BG76)</f>
        <v>-274</v>
      </c>
      <c r="BH77" s="747">
        <f>SUM(BH74:BH76)</f>
        <v>469</v>
      </c>
      <c r="BI77" s="194">
        <f t="shared" si="263"/>
        <v>648.94022041199946</v>
      </c>
      <c r="BJ77" s="998">
        <f t="shared" si="262"/>
        <v>1217.9402204119979</v>
      </c>
      <c r="BK77" s="194">
        <f t="shared" si="264" ref="BK77:BR77">SUM(BK74:BK76)</f>
        <v>556.36156679600003</v>
      </c>
      <c r="BL77" s="194">
        <f t="shared" si="264"/>
        <v>208.963076839</v>
      </c>
      <c r="BM77" s="194">
        <f t="shared" si="264"/>
        <v>399.40413329300031</v>
      </c>
      <c r="BN77" s="194">
        <f t="shared" si="264"/>
        <v>682.11029947631971</v>
      </c>
      <c r="BO77" s="998">
        <f t="shared" si="264"/>
        <v>1846.8390764043183</v>
      </c>
      <c r="BP77" s="998">
        <f t="shared" si="264"/>
        <v>1544.8797381052646</v>
      </c>
      <c r="BQ77" s="998">
        <f t="shared" si="264"/>
        <v>2396.8839681681634</v>
      </c>
      <c r="BR77" s="998">
        <f t="shared" si="264"/>
        <v>1706.2769886548372</v>
      </c>
      <c r="BS77" s="423"/>
    </row>
    <row r="78" spans="1:71" s="181" customFormat="1" ht="15">
      <c r="A78" s="183" t="s">
        <v>562</v>
      </c>
      <c r="B78" s="451"/>
      <c r="C78" s="1010">
        <f t="shared" si="265" ref="C78:AQ78">C77+C55+C56</f>
        <v>999.154</v>
      </c>
      <c r="D78" s="1008">
        <f t="shared" si="265"/>
        <v>906.02499999999964</v>
      </c>
      <c r="E78" s="1008">
        <f t="shared" si="265"/>
        <v>277.14100000000008</v>
      </c>
      <c r="F78" s="1008">
        <f t="shared" si="265"/>
        <v>1110.634</v>
      </c>
      <c r="G78" s="1008">
        <f t="shared" si="265"/>
        <v>1525.431</v>
      </c>
      <c r="H78" s="185">
        <f t="shared" si="265"/>
        <v>540.98</v>
      </c>
      <c r="I78" s="185">
        <f t="shared" si="265"/>
        <v>395.27099999999996</v>
      </c>
      <c r="J78" s="185">
        <f t="shared" si="265"/>
        <v>424.70000000000005</v>
      </c>
      <c r="K78" s="185">
        <f t="shared" si="265"/>
        <v>445.18900000000002</v>
      </c>
      <c r="L78" s="1008">
        <f t="shared" si="265"/>
        <v>1803.1470000000002</v>
      </c>
      <c r="M78" s="185">
        <f t="shared" si="265"/>
        <v>422.88800000000003</v>
      </c>
      <c r="N78" s="185">
        <f t="shared" si="265"/>
        <v>409.37900000000002</v>
      </c>
      <c r="O78" s="185">
        <f t="shared" si="265"/>
        <v>527.79099999999994</v>
      </c>
      <c r="P78" s="185">
        <f t="shared" si="265"/>
        <v>411.85</v>
      </c>
      <c r="Q78" s="1008">
        <f t="shared" si="265"/>
        <v>1774.3630000000001</v>
      </c>
      <c r="R78" s="185">
        <f t="shared" si="265"/>
        <v>445.96600000000001</v>
      </c>
      <c r="S78" s="185">
        <f t="shared" si="265"/>
        <v>311.5510000000001</v>
      </c>
      <c r="T78" s="185">
        <f t="shared" si="265"/>
        <v>340.202</v>
      </c>
      <c r="U78" s="185">
        <f t="shared" si="265"/>
        <v>355.65400000000005</v>
      </c>
      <c r="V78" s="1008">
        <f t="shared" si="265"/>
        <v>1466.576</v>
      </c>
      <c r="W78" s="185">
        <f t="shared" si="265"/>
        <v>361.61000000000007</v>
      </c>
      <c r="X78" s="185">
        <f t="shared" si="265"/>
        <v>258.20499999999998</v>
      </c>
      <c r="Y78" s="185">
        <f t="shared" si="265"/>
        <v>304.15599999999995</v>
      </c>
      <c r="Z78" s="185">
        <f t="shared" si="265"/>
        <v>340.62399999999997</v>
      </c>
      <c r="AA78" s="1008">
        <f t="shared" si="265"/>
        <v>1259.1080000000002</v>
      </c>
      <c r="AB78" s="185">
        <f t="shared" si="265"/>
        <v>330.53</v>
      </c>
      <c r="AC78" s="185">
        <f t="shared" si="265"/>
        <v>247.322</v>
      </c>
      <c r="AD78" s="185">
        <f t="shared" si="265"/>
        <v>312.10499999999996</v>
      </c>
      <c r="AE78" s="185">
        <f t="shared" si="265"/>
        <v>434.48</v>
      </c>
      <c r="AF78" s="1008">
        <f t="shared" si="265"/>
        <v>1320.8999999999996</v>
      </c>
      <c r="AG78" s="185">
        <f t="shared" si="265"/>
        <v>388.072</v>
      </c>
      <c r="AH78" s="185">
        <f t="shared" si="265"/>
        <v>161.50700000000001</v>
      </c>
      <c r="AI78" s="185">
        <f t="shared" si="265"/>
        <v>224.70300000000003</v>
      </c>
      <c r="AJ78" s="185">
        <f t="shared" si="265"/>
        <v>382.30799999999999</v>
      </c>
      <c r="AK78" s="1008">
        <f t="shared" si="265"/>
        <v>1149.0940000000001</v>
      </c>
      <c r="AL78" s="185">
        <f t="shared" si="265"/>
        <v>435.98599999999999</v>
      </c>
      <c r="AM78" s="185">
        <f t="shared" si="265"/>
        <v>416.90700000000004</v>
      </c>
      <c r="AN78" s="185">
        <f t="shared" si="265"/>
        <v>440.20400000000006</v>
      </c>
      <c r="AO78" s="185">
        <f t="shared" si="265"/>
        <v>643.06799999999998</v>
      </c>
      <c r="AP78" s="1008">
        <f t="shared" si="265"/>
        <v>1928.973</v>
      </c>
      <c r="AQ78" s="185">
        <f t="shared" si="265"/>
        <v>571.08799999999997</v>
      </c>
      <c r="AR78" s="185">
        <f t="shared" si="266" ref="AR78:AV78">AR77+AR55+AR56</f>
        <v>444.99199999999996</v>
      </c>
      <c r="AS78" s="185">
        <f t="shared" si="266"/>
        <v>463.25400000000002</v>
      </c>
      <c r="AT78" s="185">
        <f t="shared" si="266"/>
        <v>704.01</v>
      </c>
      <c r="AU78" s="1008">
        <f t="shared" si="266"/>
        <v>2187.529</v>
      </c>
      <c r="AV78" s="185">
        <f t="shared" si="266"/>
        <v>488.99599999999998</v>
      </c>
      <c r="AW78" s="185">
        <f t="shared" si="267" ref="AW78:AZ78">AW77+AW55+AW56</f>
        <v>389.41</v>
      </c>
      <c r="AX78" s="185">
        <f t="shared" si="267"/>
        <v>425.911</v>
      </c>
      <c r="AY78" s="185">
        <f t="shared" si="267"/>
        <v>538.19399999999996</v>
      </c>
      <c r="AZ78" s="1008">
        <f t="shared" si="267"/>
        <v>1843.0260000000001</v>
      </c>
      <c r="BA78" s="185">
        <f t="shared" si="268" ref="BA78:BI78">BA77+BA55+BA56</f>
        <v>601.87699999999995</v>
      </c>
      <c r="BB78" s="185">
        <f t="shared" si="268"/>
        <v>592.84999999999991</v>
      </c>
      <c r="BC78" s="185">
        <f t="shared" si="268"/>
        <v>666.1450000000001</v>
      </c>
      <c r="BD78" s="185">
        <f t="shared" si="268"/>
        <v>1161.7249999999999</v>
      </c>
      <c r="BE78" s="1008">
        <f t="shared" si="268"/>
        <v>3002.8339999999994</v>
      </c>
      <c r="BF78" s="185">
        <f>BF77+BF55+BF56</f>
        <v>999.52</v>
      </c>
      <c r="BG78" s="185">
        <f>BG77+BG55+BG56</f>
        <v>1007.98</v>
      </c>
      <c r="BH78" s="749">
        <f>BH77+BH55+BH56</f>
        <v>1283.8249999999998</v>
      </c>
      <c r="BI78" s="199">
        <f t="shared" si="268"/>
        <v>1130.3357102399996</v>
      </c>
      <c r="BJ78" s="1009">
        <f>SUM(BF78,BG78,BH78,BI78)</f>
        <v>4421.6607102399994</v>
      </c>
      <c r="BK78" s="199">
        <f>BK77+BK55+BK56</f>
        <v>1046.275638092</v>
      </c>
      <c r="BL78" s="199">
        <f>BL77+BL55+BL56</f>
        <v>763.43470627600004</v>
      </c>
      <c r="BM78" s="199">
        <f>BM77+BM55+BM56</f>
        <v>974.0028180080003</v>
      </c>
      <c r="BN78" s="199">
        <f>BN77+BN55+BN56</f>
        <v>1187.6994370955997</v>
      </c>
      <c r="BO78" s="1009">
        <f>SUM(BK78,BL78,BM78,BN78)</f>
        <v>3971.4125994716005</v>
      </c>
      <c r="BP78" s="1009">
        <f>BP77+BP55+BP56</f>
        <v>3706.7001662214202</v>
      </c>
      <c r="BQ78" s="1009">
        <f>BQ77+BQ55+BQ56</f>
        <v>4657.936508683455</v>
      </c>
      <c r="BR78" s="1009">
        <f>BR77+BR55+BR56</f>
        <v>4072.0521134106584</v>
      </c>
      <c r="BS78" s="423"/>
    </row>
    <row r="79" spans="1:71" s="76" customFormat="1" ht="15">
      <c r="A79" s="884" t="str">
        <f>CONCATENATE("Consensus Estimates - ",IFERROR(LEFT(A78,FIND("(",A78)-1),A78))</f>
        <v>Consensus Estimates - Total Underwriting Income excl. PYD &amp; CAT, mm</v>
      </c>
      <c r="B79" s="886"/>
      <c r="C79" s="1001"/>
      <c r="D79" s="1001"/>
      <c r="E79" s="1001"/>
      <c r="F79" s="1001"/>
      <c r="G79" s="1001"/>
      <c r="H79" s="850"/>
      <c r="I79" s="850"/>
      <c r="J79" s="850"/>
      <c r="K79" s="850"/>
      <c r="L79" s="1001"/>
      <c r="M79" s="850"/>
      <c r="N79" s="850"/>
      <c r="O79" s="850"/>
      <c r="P79" s="850"/>
      <c r="Q79" s="1001"/>
      <c r="R79" s="850"/>
      <c r="S79" s="850"/>
      <c r="T79" s="850"/>
      <c r="U79" s="850"/>
      <c r="V79" s="1001"/>
      <c r="W79" s="850"/>
      <c r="X79" s="850"/>
      <c r="Y79" s="850"/>
      <c r="Z79" s="850"/>
      <c r="AA79" s="1003"/>
      <c r="AB79" s="850"/>
      <c r="AC79" s="850"/>
      <c r="AD79" s="850"/>
      <c r="AE79" s="850"/>
      <c r="AF79" s="1003"/>
      <c r="AG79" s="850"/>
      <c r="AH79" s="850"/>
      <c r="AI79" s="850"/>
      <c r="AJ79" s="850"/>
      <c r="AK79" s="1003"/>
      <c r="AL79" s="850"/>
      <c r="AM79" s="850"/>
      <c r="AN79" s="850"/>
      <c r="AO79" s="850"/>
      <c r="AP79" s="1003"/>
      <c r="AQ79" s="850"/>
      <c r="AR79" s="850"/>
      <c r="AS79" s="850"/>
      <c r="AT79" s="850"/>
      <c r="AU79" s="1003"/>
      <c r="AV79" s="850"/>
      <c r="AW79" s="850"/>
      <c r="AX79" s="850"/>
      <c r="AY79" s="850"/>
      <c r="AZ79" s="1003"/>
      <c r="BA79" s="850"/>
      <c r="BB79" s="850"/>
      <c r="BC79" s="850"/>
      <c r="BD79" s="850"/>
      <c r="BE79" s="1003"/>
      <c r="BF79" s="850"/>
      <c r="BG79" s="850"/>
      <c r="BH79" s="853"/>
      <c r="BI79" s="854" t="str">
        <f ca="1" t="shared" si="269" ref="BI79:BO79">IFERROR(VLOOKUP($A79,tb_ConsensusEstimate,MATCH(BI$5,OFFSET(tb_ConsensusEstimate,0,0,1,COLUMNS(tb_ConsensusEstimate)),0),FALSE),"-")</f>
        <v>N/A</v>
      </c>
      <c r="BJ79" s="1003" t="str">
        <f t="shared" ca="1" si="269"/>
        <v>N/A</v>
      </c>
      <c r="BK79" s="854" t="str">
        <f t="shared" ca="1" si="269"/>
        <v>N/A</v>
      </c>
      <c r="BL79" s="854" t="str">
        <f t="shared" ca="1" si="269"/>
        <v>N/A</v>
      </c>
      <c r="BM79" s="854" t="str">
        <f t="shared" ca="1" si="269"/>
        <v>N/A</v>
      </c>
      <c r="BN79" s="854" t="str">
        <f t="shared" ca="1" si="269"/>
        <v>N/A</v>
      </c>
      <c r="BO79" s="1003" t="str">
        <f t="shared" ca="1" si="269"/>
        <v>N/A</v>
      </c>
      <c r="BP79" s="1003" t="str">
        <f ca="1">IFERROR(VLOOKUP($A79,tb_ConsensusEstimate,MATCH(BP5,OFFSET(tb_ConsensusEstimate,0,0,1,COLUMNS(tb_ConsensusEstimate)),0),FALSE),"-")</f>
        <v>N/A</v>
      </c>
      <c r="BQ79" s="1003" t="str">
        <f ca="1">IFERROR(VLOOKUP($A79,tb_ConsensusEstimate,MATCH(BQ5,OFFSET(tb_ConsensusEstimate,0,0,1,COLUMNS(tb_ConsensusEstimate)),0),FALSE),"-")</f>
        <v>N/A</v>
      </c>
      <c r="BR79" s="1003" t="str">
        <f ca="1">IFERROR(VLOOKUP($A79,tb_ConsensusEstimate,MATCH(BR5,OFFSET(tb_ConsensusEstimate,0,0,1,COLUMNS(tb_ConsensusEstimate)),0),FALSE),"-")</f>
        <v>N/A</v>
      </c>
      <c r="BS79" s="827"/>
    </row>
    <row r="80" spans="1:71" s="24" customFormat="1" ht="15">
      <c r="A80" s="454"/>
      <c r="B80" s="445"/>
      <c r="C80" s="1011"/>
      <c r="D80" s="1011"/>
      <c r="E80" s="1011"/>
      <c r="F80" s="1011"/>
      <c r="G80" s="1011"/>
      <c r="H80" s="857"/>
      <c r="I80" s="857"/>
      <c r="J80" s="857"/>
      <c r="K80" s="857"/>
      <c r="L80" s="1011"/>
      <c r="M80" s="857"/>
      <c r="N80" s="857"/>
      <c r="O80" s="857"/>
      <c r="P80" s="857"/>
      <c r="Q80" s="1011"/>
      <c r="R80" s="857"/>
      <c r="S80" s="857"/>
      <c r="T80" s="857"/>
      <c r="U80" s="857"/>
      <c r="V80" s="1011"/>
      <c r="W80" s="857"/>
      <c r="X80" s="857"/>
      <c r="Y80" s="857"/>
      <c r="Z80" s="857"/>
      <c r="AA80" s="1011"/>
      <c r="AB80" s="857"/>
      <c r="AC80" s="857"/>
      <c r="AD80" s="857"/>
      <c r="AE80" s="857"/>
      <c r="AF80" s="1011"/>
      <c r="AG80" s="857"/>
      <c r="AH80" s="857"/>
      <c r="AI80" s="857"/>
      <c r="AJ80" s="857"/>
      <c r="AK80" s="1011"/>
      <c r="AL80" s="857"/>
      <c r="AM80" s="857"/>
      <c r="AN80" s="857"/>
      <c r="AO80" s="857"/>
      <c r="AP80" s="1011"/>
      <c r="AQ80" s="857"/>
      <c r="AR80" s="857"/>
      <c r="AS80" s="857"/>
      <c r="AT80" s="857"/>
      <c r="AU80" s="1011"/>
      <c r="AV80" s="857"/>
      <c r="AW80" s="857"/>
      <c r="AX80" s="857"/>
      <c r="AY80" s="857"/>
      <c r="AZ80" s="1011"/>
      <c r="BA80" s="857"/>
      <c r="BB80" s="857"/>
      <c r="BC80" s="857"/>
      <c r="BD80" s="857"/>
      <c r="BE80" s="1011"/>
      <c r="BF80" s="857"/>
      <c r="BG80" s="857"/>
      <c r="BH80" s="858"/>
      <c r="BI80" s="857"/>
      <c r="BJ80" s="1011"/>
      <c r="BK80" s="857"/>
      <c r="BL80" s="857"/>
      <c r="BM80" s="857"/>
      <c r="BN80" s="857"/>
      <c r="BO80" s="1011"/>
      <c r="BP80" s="1011"/>
      <c r="BQ80" s="1011"/>
      <c r="BR80" s="1011"/>
      <c r="BS80" s="833"/>
    </row>
    <row r="81" spans="1:71" s="181" customFormat="1" ht="15">
      <c r="A81" s="826" t="s">
        <v>60</v>
      </c>
      <c r="B81" s="826"/>
      <c r="C81" s="847"/>
      <c r="D81" s="847"/>
      <c r="E81" s="847"/>
      <c r="F81" s="847"/>
      <c r="G81" s="847"/>
      <c r="H81" s="847"/>
      <c r="I81" s="847"/>
      <c r="J81" s="847"/>
      <c r="K81" s="847"/>
      <c r="L81" s="847"/>
      <c r="M81" s="847"/>
      <c r="N81" s="847"/>
      <c r="O81" s="847"/>
      <c r="P81" s="847"/>
      <c r="Q81" s="847"/>
      <c r="R81" s="847"/>
      <c r="S81" s="847"/>
      <c r="T81" s="847"/>
      <c r="U81" s="847"/>
      <c r="V81" s="847"/>
      <c r="W81" s="847"/>
      <c r="X81" s="847"/>
      <c r="Y81" s="847"/>
      <c r="Z81" s="847"/>
      <c r="AA81" s="847"/>
      <c r="AB81" s="847"/>
      <c r="AC81" s="847"/>
      <c r="AD81" s="847"/>
      <c r="AE81" s="847"/>
      <c r="AF81" s="847"/>
      <c r="AG81" s="847"/>
      <c r="AH81" s="847"/>
      <c r="AI81" s="847"/>
      <c r="AJ81" s="847"/>
      <c r="AK81" s="847"/>
      <c r="AL81" s="847"/>
      <c r="AM81" s="847"/>
      <c r="AN81" s="847"/>
      <c r="AO81" s="847"/>
      <c r="AP81" s="847"/>
      <c r="AQ81" s="847"/>
      <c r="AR81" s="847"/>
      <c r="AS81" s="847"/>
      <c r="AT81" s="847"/>
      <c r="AU81" s="847"/>
      <c r="AV81" s="847"/>
      <c r="AW81" s="847"/>
      <c r="AX81" s="847"/>
      <c r="AY81" s="847"/>
      <c r="AZ81" s="847"/>
      <c r="BA81" s="847"/>
      <c r="BB81" s="847"/>
      <c r="BC81" s="847"/>
      <c r="BD81" s="847"/>
      <c r="BE81" s="847"/>
      <c r="BF81" s="847"/>
      <c r="BG81" s="847"/>
      <c r="BH81" s="848"/>
      <c r="BI81" s="847"/>
      <c r="BJ81" s="847"/>
      <c r="BK81" s="847"/>
      <c r="BL81" s="847"/>
      <c r="BM81" s="847"/>
      <c r="BN81" s="847"/>
      <c r="BO81" s="847"/>
      <c r="BP81" s="847"/>
      <c r="BQ81" s="847"/>
      <c r="BR81" s="847"/>
      <c r="BS81" s="423"/>
    </row>
    <row r="82" spans="1:71" s="27" customFormat="1" ht="15">
      <c r="A82" s="41" t="s">
        <v>61</v>
      </c>
      <c r="B82" s="434"/>
      <c r="C82" s="983">
        <f t="shared" si="270" ref="C82:AR82">C23/C15</f>
        <v>0.90114068441064643</v>
      </c>
      <c r="D82" s="983">
        <f t="shared" si="270"/>
        <v>0.91304347826086951</v>
      </c>
      <c r="E82" s="983">
        <f t="shared" si="270"/>
        <v>0.91319052987598648</v>
      </c>
      <c r="F82" s="983">
        <f t="shared" si="270"/>
        <v>0.9054991991457555</v>
      </c>
      <c r="G82" s="983">
        <f t="shared" si="270"/>
        <v>0.90128068303094988</v>
      </c>
      <c r="H82" s="71">
        <f t="shared" si="270"/>
        <v>0.8929924242424242</v>
      </c>
      <c r="I82" s="71">
        <f t="shared" si="270"/>
        <v>0.91836734693877553</v>
      </c>
      <c r="J82" s="71">
        <f t="shared" si="270"/>
        <v>0.87749568646783338</v>
      </c>
      <c r="K82" s="71">
        <f t="shared" si="270"/>
        <v>0.92616580310880825</v>
      </c>
      <c r="L82" s="983">
        <f t="shared" si="270"/>
        <v>0.90338104639684103</v>
      </c>
      <c r="M82" s="71">
        <f t="shared" si="270"/>
        <v>0.88797942001870911</v>
      </c>
      <c r="N82" s="71">
        <f t="shared" si="270"/>
        <v>0.91358331263968218</v>
      </c>
      <c r="O82" s="71">
        <f t="shared" si="270"/>
        <v>0.90178347148957549</v>
      </c>
      <c r="P82" s="71">
        <f t="shared" si="270"/>
        <v>0.92968543484007404</v>
      </c>
      <c r="Q82" s="983">
        <f t="shared" si="270"/>
        <v>0.9076367710213481</v>
      </c>
      <c r="R82" s="71">
        <f t="shared" si="270"/>
        <v>0.89545129792807809</v>
      </c>
      <c r="S82" s="71">
        <f t="shared" si="270"/>
        <v>0.91851851851851851</v>
      </c>
      <c r="T82" s="71">
        <f t="shared" si="270"/>
        <v>0.90298507462686572</v>
      </c>
      <c r="U82" s="71">
        <f t="shared" si="270"/>
        <v>0.93687517852042279</v>
      </c>
      <c r="V82" s="983">
        <f t="shared" si="270"/>
        <v>0.91255252100840334</v>
      </c>
      <c r="W82" s="71">
        <f t="shared" si="270"/>
        <v>0.9025989229688598</v>
      </c>
      <c r="X82" s="71">
        <f t="shared" si="270"/>
        <v>0.93410648392198203</v>
      </c>
      <c r="Y82" s="71">
        <f t="shared" si="270"/>
        <v>0.90678637443886978</v>
      </c>
      <c r="Z82" s="71">
        <f t="shared" si="270"/>
        <v>0.94918530792598732</v>
      </c>
      <c r="AA82" s="983">
        <f t="shared" si="270"/>
        <v>0.92225166418923288</v>
      </c>
      <c r="AB82" s="71">
        <f t="shared" si="270"/>
        <v>0.89331245806307313</v>
      </c>
      <c r="AC82" s="71">
        <f t="shared" si="270"/>
        <v>0.93635463100544825</v>
      </c>
      <c r="AD82" s="71">
        <f t="shared" si="270"/>
        <v>0.91382765531062127</v>
      </c>
      <c r="AE82" s="71">
        <f t="shared" si="270"/>
        <v>0.94112946190729885</v>
      </c>
      <c r="AF82" s="983">
        <f t="shared" si="270"/>
        <v>0.92008612734543216</v>
      </c>
      <c r="AG82" s="71">
        <f t="shared" si="270"/>
        <v>0.8801268498942918</v>
      </c>
      <c r="AH82" s="71">
        <f t="shared" si="270"/>
        <v>0.92392082041497736</v>
      </c>
      <c r="AI82" s="71">
        <f t="shared" si="270"/>
        <v>0.91055958791852021</v>
      </c>
      <c r="AJ82" s="71">
        <f t="shared" si="270"/>
        <v>0.93580995703816017</v>
      </c>
      <c r="AK82" s="983">
        <f t="shared" si="270"/>
        <v>0.91125881872777093</v>
      </c>
      <c r="AL82" s="71">
        <f t="shared" si="270"/>
        <v>0.87400917813934087</v>
      </c>
      <c r="AM82" s="71">
        <f t="shared" si="270"/>
        <v>0.91519263387448513</v>
      </c>
      <c r="AN82" s="71">
        <f t="shared" si="270"/>
        <v>0.90614657210401894</v>
      </c>
      <c r="AO82" s="71">
        <f t="shared" si="270"/>
        <v>0.92888206702481457</v>
      </c>
      <c r="AP82" s="983">
        <f t="shared" si="270"/>
        <v>0.90451348182883939</v>
      </c>
      <c r="AQ82" s="71">
        <f t="shared" si="270"/>
        <v>0.8636934673366834</v>
      </c>
      <c r="AR82" s="71">
        <f t="shared" si="270"/>
        <v>0.91368227731864093</v>
      </c>
      <c r="AS82" s="71">
        <f t="shared" si="271" ref="AS82:AU85">AS23/AS15</f>
        <v>0.90298675050527732</v>
      </c>
      <c r="AT82" s="71">
        <f t="shared" si="271"/>
        <v>0.93614514608859567</v>
      </c>
      <c r="AU82" s="983">
        <f t="shared" si="271"/>
        <v>0.90296707611195248</v>
      </c>
      <c r="AV82" s="71">
        <f t="shared" si="272" ref="AV82:AW85">AV23/AV15</f>
        <v>0.87451437451437453</v>
      </c>
      <c r="AW82" s="71">
        <f t="shared" si="272"/>
        <v>0.91370664437944005</v>
      </c>
      <c r="AX82" s="71">
        <f t="shared" si="273" ref="AX82:AZ85">AX23/AX15</f>
        <v>0.8984375</v>
      </c>
      <c r="AY82" s="71">
        <f t="shared" si="273"/>
        <v>0.92949396569976706</v>
      </c>
      <c r="AZ82" s="983">
        <f t="shared" si="273"/>
        <v>0.90338609702371808</v>
      </c>
      <c r="BA82" s="71">
        <f t="shared" si="274" ref="BA82:BB85">BA23/BA15</f>
        <v>0.88486616334934798</v>
      </c>
      <c r="BB82" s="71">
        <f t="shared" si="274"/>
        <v>0.91398799010950194</v>
      </c>
      <c r="BC82" s="71">
        <f t="shared" si="275" ref="BC82:BE85">BC23/BC15</f>
        <v>0.89357959542656118</v>
      </c>
      <c r="BD82" s="71">
        <f t="shared" si="275"/>
        <v>0.93029291805710046</v>
      </c>
      <c r="BE82" s="983">
        <f t="shared" si="275"/>
        <v>0.90522397979529445</v>
      </c>
      <c r="BF82" s="71">
        <f t="shared" si="276" ref="BF82:BG85">BF23/BF15</f>
        <v>0.87701707660974459</v>
      </c>
      <c r="BG82" s="71">
        <f t="shared" si="276"/>
        <v>0.89787647917004376</v>
      </c>
      <c r="BH82" s="740">
        <f>BH23/BH15</f>
        <v>0.89373076300016197</v>
      </c>
      <c r="BI82" s="907">
        <v>0.93</v>
      </c>
      <c r="BJ82" s="982">
        <f>BJ23/BJ15</f>
        <v>0.89868927820394862</v>
      </c>
      <c r="BK82" s="907">
        <v>0.93</v>
      </c>
      <c r="BL82" s="907">
        <v>0.93</v>
      </c>
      <c r="BM82" s="907">
        <v>0.93</v>
      </c>
      <c r="BN82" s="907">
        <v>0.93</v>
      </c>
      <c r="BO82" s="982">
        <f>BO23/BO15</f>
        <v>0.93000000000000016</v>
      </c>
      <c r="BP82" s="984">
        <v>0.89999999999999991</v>
      </c>
      <c r="BQ82" s="984">
        <v>0.89999999999999991</v>
      </c>
      <c r="BR82" s="984">
        <v>0.89999999999999991</v>
      </c>
      <c r="BS82" s="71"/>
    </row>
    <row r="83" spans="1:71" s="27" customFormat="1" ht="15">
      <c r="A83" s="41" t="s">
        <v>62</v>
      </c>
      <c r="B83" s="434"/>
      <c r="C83" s="983">
        <f t="shared" si="277" ref="C83:AR83">C24/C16</f>
        <v>0.884729329383248</v>
      </c>
      <c r="D83" s="983">
        <f t="shared" si="277"/>
        <v>0.90860215053763438</v>
      </c>
      <c r="E83" s="983">
        <f t="shared" si="277"/>
        <v>0.91021126760563376</v>
      </c>
      <c r="F83" s="983">
        <f t="shared" si="277"/>
        <v>0.91022900763358783</v>
      </c>
      <c r="G83" s="983">
        <f t="shared" si="277"/>
        <v>0.95260441107461291</v>
      </c>
      <c r="H83" s="71">
        <f t="shared" si="277"/>
        <v>0.91287878787878785</v>
      </c>
      <c r="I83" s="71">
        <f t="shared" si="277"/>
        <v>0.99630996309963105</v>
      </c>
      <c r="J83" s="71">
        <f t="shared" si="277"/>
        <v>0.98932384341637014</v>
      </c>
      <c r="K83" s="71">
        <f t="shared" si="277"/>
        <v>0.98499061913696062</v>
      </c>
      <c r="L83" s="983">
        <f t="shared" si="277"/>
        <v>0.97136258660508079</v>
      </c>
      <c r="M83" s="71">
        <f t="shared" si="277"/>
        <v>0.91570881226053635</v>
      </c>
      <c r="N83" s="71">
        <f t="shared" si="277"/>
        <v>0.994413407821229</v>
      </c>
      <c r="O83" s="71">
        <f t="shared" si="277"/>
        <v>0.97413793103448276</v>
      </c>
      <c r="P83" s="71">
        <f t="shared" si="277"/>
        <v>0.98054474708171202</v>
      </c>
      <c r="Q83" s="983">
        <f t="shared" si="277"/>
        <v>0.96655829075708311</v>
      </c>
      <c r="R83" s="71">
        <f t="shared" si="277"/>
        <v>0.90467937608318894</v>
      </c>
      <c r="S83" s="71">
        <f t="shared" si="277"/>
        <v>0.967741935483871</v>
      </c>
      <c r="T83" s="71">
        <f t="shared" si="277"/>
        <v>0.970873786407767</v>
      </c>
      <c r="U83" s="71">
        <f t="shared" si="277"/>
        <v>0.98469387755102045</v>
      </c>
      <c r="V83" s="983">
        <f t="shared" si="277"/>
        <v>0.95741989881956158</v>
      </c>
      <c r="W83" s="71">
        <f t="shared" si="277"/>
        <v>0.90515806988352743</v>
      </c>
      <c r="X83" s="71">
        <f t="shared" si="277"/>
        <v>0.96451612903225803</v>
      </c>
      <c r="Y83" s="71">
        <f t="shared" si="277"/>
        <v>0.96677215189873422</v>
      </c>
      <c r="Z83" s="71">
        <f t="shared" si="277"/>
        <v>0.96650717703349287</v>
      </c>
      <c r="AA83" s="983">
        <f t="shared" si="277"/>
        <v>0.9512096774193548</v>
      </c>
      <c r="AB83" s="71">
        <f t="shared" si="277"/>
        <v>0.89968652037617558</v>
      </c>
      <c r="AC83" s="71">
        <f t="shared" si="277"/>
        <v>0.96884272997032639</v>
      </c>
      <c r="AD83" s="71">
        <f t="shared" si="277"/>
        <v>0.95690936106983659</v>
      </c>
      <c r="AE83" s="71">
        <f t="shared" si="277"/>
        <v>0.9661764705882353</v>
      </c>
      <c r="AF83" s="983">
        <f t="shared" si="277"/>
        <v>0.94859287054409003</v>
      </c>
      <c r="AG83" s="71">
        <f t="shared" si="277"/>
        <v>0.88670694864048338</v>
      </c>
      <c r="AH83" s="71">
        <f t="shared" si="277"/>
        <v>0.95046854082998666</v>
      </c>
      <c r="AI83" s="71">
        <f t="shared" si="277"/>
        <v>0.94545454545454544</v>
      </c>
      <c r="AJ83" s="71">
        <f t="shared" si="277"/>
        <v>0.94946808510638303</v>
      </c>
      <c r="AK83" s="983">
        <f t="shared" si="277"/>
        <v>0.93449334698055275</v>
      </c>
      <c r="AL83" s="71">
        <f t="shared" si="277"/>
        <v>0.88400000000000001</v>
      </c>
      <c r="AM83" s="71">
        <f t="shared" si="277"/>
        <v>0.95324675324675323</v>
      </c>
      <c r="AN83" s="71">
        <f t="shared" si="277"/>
        <v>0.93897882938978827</v>
      </c>
      <c r="AO83" s="71">
        <f t="shared" si="277"/>
        <v>0.92915214866434381</v>
      </c>
      <c r="AP83" s="983">
        <f t="shared" si="277"/>
        <v>0.92682160804020097</v>
      </c>
      <c r="AQ83" s="71">
        <f t="shared" si="277"/>
        <v>0.86690647482014394</v>
      </c>
      <c r="AR83" s="71">
        <f t="shared" si="277"/>
        <v>0.92927094668117516</v>
      </c>
      <c r="AS83" s="71">
        <f t="shared" si="271"/>
        <v>0.90853658536585369</v>
      </c>
      <c r="AT83" s="71">
        <f t="shared" si="271"/>
        <v>0.91599190283400811</v>
      </c>
      <c r="AU83" s="983">
        <f t="shared" si="271"/>
        <v>0.90630872483221481</v>
      </c>
      <c r="AV83" s="71">
        <f t="shared" si="272"/>
        <v>0.87413280475718536</v>
      </c>
      <c r="AW83" s="71">
        <f t="shared" si="272"/>
        <v>0.9285714285714286</v>
      </c>
      <c r="AX83" s="71">
        <f t="shared" si="273"/>
        <v>0.92425695110258865</v>
      </c>
      <c r="AY83" s="71">
        <f t="shared" si="273"/>
        <v>0.92957746478873238</v>
      </c>
      <c r="AZ83" s="983">
        <f t="shared" si="273"/>
        <v>0.91425771680548751</v>
      </c>
      <c r="BA83" s="71">
        <f t="shared" si="274"/>
        <v>0.87722772277227723</v>
      </c>
      <c r="BB83" s="71">
        <f t="shared" si="274"/>
        <v>0.93140096618357493</v>
      </c>
      <c r="BC83" s="71">
        <f t="shared" si="275"/>
        <v>0.92698706099815154</v>
      </c>
      <c r="BD83" s="71">
        <f t="shared" si="275"/>
        <v>0.93301886792452826</v>
      </c>
      <c r="BE83" s="983">
        <f t="shared" si="275"/>
        <v>0.91760210174349177</v>
      </c>
      <c r="BF83" s="71">
        <f t="shared" si="276"/>
        <v>0.87639405204460963</v>
      </c>
      <c r="BG83" s="71">
        <f t="shared" si="276"/>
        <v>0.92280390417036384</v>
      </c>
      <c r="BH83" s="740">
        <f>BH24/BH16</f>
        <v>0.92017167381974252</v>
      </c>
      <c r="BI83" s="907">
        <v>0.935</v>
      </c>
      <c r="BJ83" s="982">
        <f>BJ24/BJ16</f>
        <v>0.91390488362706845</v>
      </c>
      <c r="BK83" s="907">
        <v>0.935</v>
      </c>
      <c r="BL83" s="907">
        <v>0.935</v>
      </c>
      <c r="BM83" s="907">
        <v>0.935</v>
      </c>
      <c r="BN83" s="907">
        <v>0.935</v>
      </c>
      <c r="BO83" s="982">
        <f>BO24/BO16</f>
        <v>0.935</v>
      </c>
      <c r="BP83" s="984">
        <v>0.935</v>
      </c>
      <c r="BQ83" s="984">
        <v>0.935</v>
      </c>
      <c r="BR83" s="984">
        <v>0.935</v>
      </c>
      <c r="BS83" s="71"/>
    </row>
    <row r="84" spans="1:71" s="27" customFormat="1" ht="15">
      <c r="A84" s="328" t="s">
        <v>63</v>
      </c>
      <c r="B84" s="436"/>
      <c r="C84" s="986">
        <f t="shared" si="278" ref="C84:AR84">C25/C17</f>
        <v>0.95651592186245649</v>
      </c>
      <c r="D84" s="986">
        <f t="shared" si="278"/>
        <v>0.96064491557699627</v>
      </c>
      <c r="E84" s="986">
        <f t="shared" si="278"/>
        <v>0.96079890832402925</v>
      </c>
      <c r="F84" s="986">
        <f t="shared" si="278"/>
        <v>0.95847532500315535</v>
      </c>
      <c r="G84" s="986">
        <f t="shared" si="278"/>
        <v>0.9589859304486329</v>
      </c>
      <c r="H84" s="322">
        <f t="shared" si="278"/>
        <v>0.98180715585203149</v>
      </c>
      <c r="I84" s="322">
        <f t="shared" si="278"/>
        <v>0.98799582463465552</v>
      </c>
      <c r="J84" s="322">
        <f t="shared" si="278"/>
        <v>0.97856049004594181</v>
      </c>
      <c r="K84" s="322">
        <f t="shared" si="278"/>
        <v>0.99712808730614588</v>
      </c>
      <c r="L84" s="986">
        <f t="shared" si="278"/>
        <v>0.98623537508602888</v>
      </c>
      <c r="M84" s="322">
        <f t="shared" si="278"/>
        <v>0.96778042959427213</v>
      </c>
      <c r="N84" s="322">
        <f t="shared" si="278"/>
        <v>0.9888776541961577</v>
      </c>
      <c r="O84" s="322">
        <f t="shared" si="278"/>
        <v>0.98979095770539616</v>
      </c>
      <c r="P84" s="322">
        <f t="shared" si="278"/>
        <v>0.99567801188546734</v>
      </c>
      <c r="Q84" s="986">
        <f t="shared" si="278"/>
        <v>0.9861147844485586</v>
      </c>
      <c r="R84" s="322">
        <f t="shared" si="278"/>
        <v>0.97314049586776863</v>
      </c>
      <c r="S84" s="322">
        <f t="shared" si="278"/>
        <v>0.99310047434238891</v>
      </c>
      <c r="T84" s="322">
        <f t="shared" si="278"/>
        <v>0.98887973640856675</v>
      </c>
      <c r="U84" s="322">
        <f t="shared" si="278"/>
        <v>0.99592391304347827</v>
      </c>
      <c r="V84" s="986">
        <f t="shared" si="278"/>
        <v>0.98830277809020362</v>
      </c>
      <c r="W84" s="322">
        <f t="shared" si="278"/>
        <v>0.97670083876980429</v>
      </c>
      <c r="X84" s="322">
        <f t="shared" si="278"/>
        <v>0.99403103859928377</v>
      </c>
      <c r="Y84" s="322">
        <f t="shared" si="278"/>
        <v>0.98903177004538578</v>
      </c>
      <c r="Z84" s="322">
        <f t="shared" si="278"/>
        <v>0.99540133779264217</v>
      </c>
      <c r="AA84" s="986">
        <f t="shared" si="278"/>
        <v>0.98916967509025266</v>
      </c>
      <c r="AB84" s="322">
        <f t="shared" si="278"/>
        <v>0.97704634040710259</v>
      </c>
      <c r="AC84" s="322">
        <f t="shared" si="278"/>
        <v>0.99263894000736108</v>
      </c>
      <c r="AD84" s="322">
        <f t="shared" si="278"/>
        <v>0.99034680014301035</v>
      </c>
      <c r="AE84" s="322">
        <f t="shared" si="278"/>
        <v>0.99681147867676367</v>
      </c>
      <c r="AF84" s="986">
        <f t="shared" si="278"/>
        <v>0.98954703832752611</v>
      </c>
      <c r="AG84" s="322">
        <f t="shared" si="278"/>
        <v>0.94278708622803431</v>
      </c>
      <c r="AH84" s="322">
        <f t="shared" si="278"/>
        <v>0.99375866851595007</v>
      </c>
      <c r="AI84" s="322">
        <f t="shared" si="278"/>
        <v>0.99027172089902715</v>
      </c>
      <c r="AJ84" s="322">
        <f t="shared" si="278"/>
        <v>0.99587860621955793</v>
      </c>
      <c r="AK84" s="986">
        <f t="shared" si="278"/>
        <v>0.98196885529551048</v>
      </c>
      <c r="AL84" s="322">
        <f t="shared" si="278"/>
        <v>0.95590490797546013</v>
      </c>
      <c r="AM84" s="322">
        <f t="shared" si="278"/>
        <v>0.99334267694463907</v>
      </c>
      <c r="AN84" s="322">
        <f t="shared" si="278"/>
        <v>0.99190031152647973</v>
      </c>
      <c r="AO84" s="322">
        <f t="shared" si="278"/>
        <v>0.99683877766069551</v>
      </c>
      <c r="AP84" s="986">
        <f t="shared" si="278"/>
        <v>0.98532858755100272</v>
      </c>
      <c r="AQ84" s="322">
        <f t="shared" si="278"/>
        <v>0.94994637111190561</v>
      </c>
      <c r="AR84" s="322">
        <f t="shared" si="278"/>
        <v>0.99367850692353998</v>
      </c>
      <c r="AS84" s="322">
        <f t="shared" si="271"/>
        <v>0.9912765338761268</v>
      </c>
      <c r="AT84" s="322">
        <f t="shared" si="271"/>
        <v>0.99744572158365263</v>
      </c>
      <c r="AU84" s="986">
        <f t="shared" si="271"/>
        <v>0.98431836091410563</v>
      </c>
      <c r="AV84" s="322">
        <f t="shared" si="272"/>
        <v>0.95425463851567494</v>
      </c>
      <c r="AW84" s="322">
        <f t="shared" si="272"/>
        <v>0.99219170705438875</v>
      </c>
      <c r="AX84" s="322">
        <f t="shared" si="273"/>
        <v>0.98950064020486561</v>
      </c>
      <c r="AY84" s="322">
        <f t="shared" si="273"/>
        <v>0.99631519274376412</v>
      </c>
      <c r="AZ84" s="986">
        <f t="shared" si="273"/>
        <v>0.98416590765781542</v>
      </c>
      <c r="BA84" s="322">
        <f t="shared" si="274"/>
        <v>0.95554288971216872</v>
      </c>
      <c r="BB84" s="322">
        <f t="shared" si="274"/>
        <v>0.99263657957244655</v>
      </c>
      <c r="BC84" s="322">
        <f t="shared" si="275"/>
        <v>0.98087188612099641</v>
      </c>
      <c r="BD84" s="322">
        <f t="shared" si="275"/>
        <v>0.99650087478130467</v>
      </c>
      <c r="BE84" s="986">
        <f t="shared" si="275"/>
        <v>0.98230143068574249</v>
      </c>
      <c r="BF84" s="322">
        <f t="shared" si="276"/>
        <v>0.94598805505063621</v>
      </c>
      <c r="BG84" s="322">
        <f t="shared" si="276"/>
        <v>0.99277741300065658</v>
      </c>
      <c r="BH84" s="741">
        <f>BH25/BH17</f>
        <v>0.9827478694658075</v>
      </c>
      <c r="BI84" s="909">
        <v>0.98</v>
      </c>
      <c r="BJ84" s="985">
        <f>BJ25/BJ17</f>
        <v>0.976601431084829</v>
      </c>
      <c r="BK84" s="909">
        <v>0.98</v>
      </c>
      <c r="BL84" s="909">
        <v>0.98</v>
      </c>
      <c r="BM84" s="909">
        <v>0.98</v>
      </c>
      <c r="BN84" s="909">
        <v>0.98</v>
      </c>
      <c r="BO84" s="985">
        <f>BO25/BO17</f>
        <v>0.98</v>
      </c>
      <c r="BP84" s="987">
        <v>0.98</v>
      </c>
      <c r="BQ84" s="987">
        <v>0.98</v>
      </c>
      <c r="BR84" s="987">
        <v>0.98</v>
      </c>
      <c r="BS84" s="71"/>
    </row>
    <row r="85" spans="1:71" s="28" customFormat="1" ht="15">
      <c r="A85" s="93" t="s">
        <v>64</v>
      </c>
      <c r="B85" s="455"/>
      <c r="C85" s="989">
        <f t="shared" si="279" ref="C85:AR85">C26/C18</f>
        <v>0.91629804595232978</v>
      </c>
      <c r="D85" s="1012">
        <f t="shared" si="279"/>
        <v>0.92846107630246333</v>
      </c>
      <c r="E85" s="1012">
        <f t="shared" si="279"/>
        <v>0.92883158203206762</v>
      </c>
      <c r="F85" s="1012">
        <f t="shared" si="279"/>
        <v>0.9234028549097042</v>
      </c>
      <c r="G85" s="1012">
        <f t="shared" si="279"/>
        <v>0.92334833921401627</v>
      </c>
      <c r="H85" s="97">
        <f t="shared" si="279"/>
        <v>0.91751288861115454</v>
      </c>
      <c r="I85" s="97">
        <f t="shared" si="279"/>
        <v>0.94528735632183913</v>
      </c>
      <c r="J85" s="97">
        <f t="shared" si="279"/>
        <v>0.91714806932198234</v>
      </c>
      <c r="K85" s="97">
        <f t="shared" si="279"/>
        <v>0.95141832409520699</v>
      </c>
      <c r="L85" s="1012">
        <f t="shared" si="279"/>
        <v>0.932600046805523</v>
      </c>
      <c r="M85" s="97">
        <f t="shared" si="279"/>
        <v>0.91087426629595303</v>
      </c>
      <c r="N85" s="97">
        <f t="shared" si="279"/>
        <v>0.94298379700397428</v>
      </c>
      <c r="O85" s="97">
        <f t="shared" si="279"/>
        <v>0.93547899667573287</v>
      </c>
      <c r="P85" s="97">
        <f t="shared" si="279"/>
        <v>0.95380611581001951</v>
      </c>
      <c r="Q85" s="1012">
        <f t="shared" si="279"/>
        <v>0.93557520750911494</v>
      </c>
      <c r="R85" s="97">
        <f t="shared" si="279"/>
        <v>0.9186531585220501</v>
      </c>
      <c r="S85" s="97">
        <f t="shared" si="279"/>
        <v>0.94871411483253587</v>
      </c>
      <c r="T85" s="97">
        <f t="shared" si="279"/>
        <v>0.93983524566048837</v>
      </c>
      <c r="U85" s="97">
        <f t="shared" si="279"/>
        <v>0.96204541845323166</v>
      </c>
      <c r="V85" s="1012">
        <f t="shared" si="279"/>
        <v>0.94198905453859216</v>
      </c>
      <c r="W85" s="97">
        <f t="shared" si="279"/>
        <v>0.92547734397264181</v>
      </c>
      <c r="X85" s="97">
        <f t="shared" si="279"/>
        <v>0.95856792262162549</v>
      </c>
      <c r="Y85" s="97">
        <f t="shared" si="279"/>
        <v>0.94294209259521444</v>
      </c>
      <c r="Z85" s="97">
        <f t="shared" si="279"/>
        <v>0.96746987951807228</v>
      </c>
      <c r="AA85" s="1012">
        <f t="shared" si="279"/>
        <v>0.94831452546296291</v>
      </c>
      <c r="AB85" s="97">
        <f t="shared" si="279"/>
        <v>0.91992450795362635</v>
      </c>
      <c r="AC85" s="97">
        <f t="shared" si="279"/>
        <v>0.95988692960021538</v>
      </c>
      <c r="AD85" s="97">
        <f t="shared" si="279"/>
        <v>0.94639506834628784</v>
      </c>
      <c r="AE85" s="97">
        <f t="shared" si="279"/>
        <v>0.9637044505257093</v>
      </c>
      <c r="AF85" s="1012">
        <f t="shared" si="279"/>
        <v>0.9472172842882538</v>
      </c>
      <c r="AG85" s="97">
        <f t="shared" si="279"/>
        <v>0.90024237785431815</v>
      </c>
      <c r="AH85" s="97">
        <f t="shared" si="279"/>
        <v>0.95219836400817992</v>
      </c>
      <c r="AI85" s="97">
        <f t="shared" si="279"/>
        <v>0.94353029169783098</v>
      </c>
      <c r="AJ85" s="97">
        <f t="shared" si="279"/>
        <v>0.95893195988072644</v>
      </c>
      <c r="AK85" s="1012">
        <f t="shared" si="279"/>
        <v>0.93844767086244085</v>
      </c>
      <c r="AL85" s="97">
        <f t="shared" si="279"/>
        <v>0.90112855740922471</v>
      </c>
      <c r="AM85" s="97">
        <f t="shared" si="279"/>
        <v>0.94774867758998838</v>
      </c>
      <c r="AN85" s="97">
        <f t="shared" si="279"/>
        <v>0.94273929394637879</v>
      </c>
      <c r="AO85" s="97">
        <f t="shared" si="279"/>
        <v>0.95431272154391489</v>
      </c>
      <c r="AP85" s="1012">
        <f t="shared" si="279"/>
        <v>0.93605767717155186</v>
      </c>
      <c r="AQ85" s="97">
        <f t="shared" si="279"/>
        <v>0.89270845723801595</v>
      </c>
      <c r="AR85" s="97">
        <f t="shared" si="279"/>
        <v>0.94626032336861698</v>
      </c>
      <c r="AS85" s="97">
        <f t="shared" si="271"/>
        <v>0.93780982424515547</v>
      </c>
      <c r="AT85" s="97">
        <f t="shared" si="271"/>
        <v>0.95671927307508364</v>
      </c>
      <c r="AU85" s="1012">
        <f t="shared" si="271"/>
        <v>0.93347739750029202</v>
      </c>
      <c r="AV85" s="97">
        <f t="shared" si="272"/>
        <v>0.9013250026930949</v>
      </c>
      <c r="AW85" s="97">
        <f t="shared" si="272"/>
        <v>0.94588926174496646</v>
      </c>
      <c r="AX85" s="97">
        <f t="shared" si="273"/>
        <v>0.93742356298410112</v>
      </c>
      <c r="AY85" s="97">
        <f t="shared" si="273"/>
        <v>0.95500270416441324</v>
      </c>
      <c r="AZ85" s="1012">
        <f t="shared" si="273"/>
        <v>0.93499841588340904</v>
      </c>
      <c r="BA85" s="97">
        <f t="shared" si="274"/>
        <v>0.90808930124673815</v>
      </c>
      <c r="BB85" s="97">
        <f t="shared" si="274"/>
        <v>0.94599798294673143</v>
      </c>
      <c r="BC85" s="97">
        <f t="shared" si="275"/>
        <v>0.9316345556246115</v>
      </c>
      <c r="BD85" s="97">
        <f t="shared" si="275"/>
        <v>0.95590626494500242</v>
      </c>
      <c r="BE85" s="1012">
        <f t="shared" si="275"/>
        <v>0.93551615005119615</v>
      </c>
      <c r="BF85" s="97">
        <f t="shared" si="276"/>
        <v>0.90044208664898318</v>
      </c>
      <c r="BG85" s="97">
        <f t="shared" si="276"/>
        <v>0.93678887484197215</v>
      </c>
      <c r="BH85" s="750">
        <f>BH26/BH18</f>
        <v>0.93151699728372706</v>
      </c>
      <c r="BI85" s="648">
        <f>BI26/BI18</f>
        <v>0.94997597504931719</v>
      </c>
      <c r="BJ85" s="1013">
        <f>BJ26/BJ18</f>
        <v>0.92961465121693876</v>
      </c>
      <c r="BK85" s="648">
        <f>BK26/BK18</f>
        <v>0.9478195860033678</v>
      </c>
      <c r="BL85" s="648">
        <f>BL26/BL18</f>
        <v>0.95006478788673276</v>
      </c>
      <c r="BM85" s="648">
        <f>BM26/BM18</f>
        <v>0.95061833414969432</v>
      </c>
      <c r="BN85" s="648">
        <f>BN26/BN18</f>
        <v>0.9503127602749577</v>
      </c>
      <c r="BO85" s="1013">
        <f>BO26/BO18</f>
        <v>0.94971994198676091</v>
      </c>
      <c r="BP85" s="1013">
        <f>BP26/BP18</f>
        <v>0.93489896002269879</v>
      </c>
      <c r="BQ85" s="1013">
        <f>BQ26/BQ18</f>
        <v>0.93567220309171983</v>
      </c>
      <c r="BR85" s="1013">
        <f>BR26/BR18</f>
        <v>0.93644831230821679</v>
      </c>
      <c r="BS85" s="43"/>
    </row>
    <row r="86" spans="1:71" s="27" customFormat="1" ht="15">
      <c r="A86" s="442"/>
      <c r="B86" s="456"/>
      <c r="C86" s="982"/>
      <c r="D86" s="982"/>
      <c r="E86" s="982"/>
      <c r="F86" s="982"/>
      <c r="G86" s="982"/>
      <c r="H86" s="435"/>
      <c r="I86" s="435"/>
      <c r="J86" s="435"/>
      <c r="K86" s="435"/>
      <c r="L86" s="982"/>
      <c r="M86" s="435"/>
      <c r="N86" s="435"/>
      <c r="O86" s="435"/>
      <c r="P86" s="435"/>
      <c r="Q86" s="982"/>
      <c r="R86" s="435"/>
      <c r="S86" s="435"/>
      <c r="T86" s="435"/>
      <c r="U86" s="435"/>
      <c r="V86" s="982"/>
      <c r="W86" s="435"/>
      <c r="X86" s="435"/>
      <c r="Y86" s="435"/>
      <c r="Z86" s="435"/>
      <c r="AA86" s="982"/>
      <c r="AB86" s="435"/>
      <c r="AC86" s="435"/>
      <c r="AD86" s="435"/>
      <c r="AE86" s="435"/>
      <c r="AF86" s="982"/>
      <c r="AG86" s="435"/>
      <c r="AH86" s="435"/>
      <c r="AI86" s="435"/>
      <c r="AJ86" s="435"/>
      <c r="AK86" s="982"/>
      <c r="AL86" s="435"/>
      <c r="AM86" s="435"/>
      <c r="AN86" s="435"/>
      <c r="AO86" s="435"/>
      <c r="AP86" s="982"/>
      <c r="AQ86" s="435"/>
      <c r="AR86" s="435"/>
      <c r="AS86" s="435"/>
      <c r="AT86" s="435"/>
      <c r="AU86" s="982"/>
      <c r="AV86" s="435"/>
      <c r="AW86" s="435"/>
      <c r="AX86" s="435"/>
      <c r="AY86" s="435"/>
      <c r="AZ86" s="982"/>
      <c r="BA86" s="435"/>
      <c r="BB86" s="435"/>
      <c r="BC86" s="435"/>
      <c r="BD86" s="435"/>
      <c r="BE86" s="982"/>
      <c r="BF86" s="435"/>
      <c r="BG86" s="435"/>
      <c r="BH86" s="751"/>
      <c r="BI86" s="435"/>
      <c r="BJ86" s="982"/>
      <c r="BK86" s="435"/>
      <c r="BL86" s="435"/>
      <c r="BM86" s="435"/>
      <c r="BN86" s="435"/>
      <c r="BO86" s="982"/>
      <c r="BP86" s="982"/>
      <c r="BQ86" s="982"/>
      <c r="BR86" s="982"/>
      <c r="BS86" s="71"/>
    </row>
    <row r="87" spans="1:71" s="27" customFormat="1" ht="15">
      <c r="A87" s="41" t="s">
        <v>65</v>
      </c>
      <c r="B87" s="434"/>
      <c r="C87" s="983">
        <f t="shared" si="280" ref="C87:AR87">C36/C23</f>
        <v>1.0060539350577875</v>
      </c>
      <c r="D87" s="983">
        <f t="shared" si="280"/>
        <v>0.99161831076724694</v>
      </c>
      <c r="E87" s="983">
        <f t="shared" si="280"/>
        <v>0.99885361552028218</v>
      </c>
      <c r="F87" s="983">
        <f t="shared" si="280"/>
        <v>0.98475404312668469</v>
      </c>
      <c r="G87" s="983">
        <f t="shared" si="280"/>
        <v>0.98667850799289525</v>
      </c>
      <c r="H87" s="71">
        <f t="shared" si="280"/>
        <v>0.94326617179215266</v>
      </c>
      <c r="I87" s="71">
        <f t="shared" si="280"/>
        <v>0.97215528781793847</v>
      </c>
      <c r="J87" s="71">
        <f t="shared" si="280"/>
        <v>1.0280898876404494</v>
      </c>
      <c r="K87" s="71">
        <f t="shared" si="280"/>
        <v>1.0246153846153847</v>
      </c>
      <c r="L87" s="983">
        <f t="shared" si="280"/>
        <v>0.99112143149842913</v>
      </c>
      <c r="M87" s="71">
        <f t="shared" si="280"/>
        <v>0.95338425072425603</v>
      </c>
      <c r="N87" s="71">
        <f t="shared" si="280"/>
        <v>0.98097309051372661</v>
      </c>
      <c r="O87" s="71">
        <f t="shared" si="280"/>
        <v>1.0175487465181059</v>
      </c>
      <c r="P87" s="71">
        <f t="shared" si="280"/>
        <v>1.0346886551037817</v>
      </c>
      <c r="Q87" s="983">
        <f t="shared" si="280"/>
        <v>0.99574847425084001</v>
      </c>
      <c r="R87" s="71">
        <f t="shared" si="280"/>
        <v>0.90797872340425534</v>
      </c>
      <c r="S87" s="71">
        <f t="shared" si="280"/>
        <v>0.99049539170506917</v>
      </c>
      <c r="T87" s="71">
        <f t="shared" si="280"/>
        <v>1.032172373081464</v>
      </c>
      <c r="U87" s="71">
        <f t="shared" si="280"/>
        <v>1.0685975609756098</v>
      </c>
      <c r="V87" s="983">
        <f t="shared" si="280"/>
        <v>0.99676258992805755</v>
      </c>
      <c r="W87" s="71">
        <f t="shared" si="280"/>
        <v>0.88949416342412446</v>
      </c>
      <c r="X87" s="71">
        <f t="shared" si="280"/>
        <v>0.98871331828442433</v>
      </c>
      <c r="Y87" s="71">
        <f t="shared" si="280"/>
        <v>1.0413511939429236</v>
      </c>
      <c r="Z87" s="71">
        <f t="shared" si="280"/>
        <v>1.0581902822228688</v>
      </c>
      <c r="AA87" s="983">
        <f t="shared" si="280"/>
        <v>0.99131044148563419</v>
      </c>
      <c r="AB87" s="71">
        <f t="shared" si="280"/>
        <v>0.8933400100150225</v>
      </c>
      <c r="AC87" s="71">
        <f t="shared" si="280"/>
        <v>0.9629727585294896</v>
      </c>
      <c r="AD87" s="71">
        <f t="shared" si="280"/>
        <v>1.0260416666666667</v>
      </c>
      <c r="AE87" s="71">
        <f t="shared" si="280"/>
        <v>1.0670818001698272</v>
      </c>
      <c r="AF87" s="983">
        <f t="shared" si="280"/>
        <v>0.98435410537576895</v>
      </c>
      <c r="AG87" s="71">
        <f t="shared" si="280"/>
        <v>0.89887100648570739</v>
      </c>
      <c r="AH87" s="71">
        <f t="shared" si="280"/>
        <v>0.97651006711409394</v>
      </c>
      <c r="AI87" s="71">
        <f t="shared" si="280"/>
        <v>0.99820005142710211</v>
      </c>
      <c r="AJ87" s="71">
        <f t="shared" si="280"/>
        <v>1.051309748852282</v>
      </c>
      <c r="AK87" s="983">
        <f t="shared" si="280"/>
        <v>0.97894938895642714</v>
      </c>
      <c r="AL87" s="71">
        <f t="shared" si="280"/>
        <v>0.92219570405727924</v>
      </c>
      <c r="AM87" s="71">
        <f t="shared" si="280"/>
        <v>0.98888006354249403</v>
      </c>
      <c r="AN87" s="71">
        <f t="shared" si="280"/>
        <v>1.0020871380120011</v>
      </c>
      <c r="AO87" s="71">
        <f t="shared" si="280"/>
        <v>1.0614155879922886</v>
      </c>
      <c r="AP87" s="983">
        <f t="shared" si="280"/>
        <v>0.99112176786987238</v>
      </c>
      <c r="AQ87" s="71">
        <f t="shared" si="280"/>
        <v>0.92096969696969699</v>
      </c>
      <c r="AR87" s="71">
        <f t="shared" si="280"/>
        <v>0.97487437185929648</v>
      </c>
      <c r="AS87" s="71">
        <f t="shared" si="281" ref="AS87:AU90">AS36/AS23</f>
        <v>0.98731658791345434</v>
      </c>
      <c r="AT87" s="71">
        <f t="shared" si="281"/>
        <v>1.0281902844198338</v>
      </c>
      <c r="AU87" s="983">
        <f t="shared" si="281"/>
        <v>0.97732778433443068</v>
      </c>
      <c r="AV87" s="71">
        <f t="shared" si="282" ref="AV87:AW90">AV36/AV23</f>
        <v>0.90426477121279436</v>
      </c>
      <c r="AW87" s="71">
        <f t="shared" si="282"/>
        <v>0.96455522524582671</v>
      </c>
      <c r="AX87" s="71">
        <f t="shared" si="283" ref="AX87:AZ90">AX36/AX23</f>
        <v>0.99610983981693368</v>
      </c>
      <c r="AY87" s="71">
        <f t="shared" si="283"/>
        <v>1.0143507972665149</v>
      </c>
      <c r="AZ87" s="983">
        <f t="shared" si="283"/>
        <v>0.96937907570172954</v>
      </c>
      <c r="BA87" s="71">
        <f t="shared" si="284" ref="BA87:BB90">BA36/BA23</f>
        <v>0.86814039170060109</v>
      </c>
      <c r="BB87" s="71">
        <f t="shared" si="284"/>
        <v>0.8973913043478261</v>
      </c>
      <c r="BC87" s="71">
        <f t="shared" si="285" ref="BC87:BE90">BC36/BC23</f>
        <v>0.97559055118110238</v>
      </c>
      <c r="BD87" s="71">
        <f t="shared" si="285"/>
        <v>1.0097648465524114</v>
      </c>
      <c r="BE87" s="983">
        <f t="shared" si="285"/>
        <v>0.93705335291238379</v>
      </c>
      <c r="BF87" s="71">
        <f t="shared" si="286" ref="BF87:BG90">BF36/BF23</f>
        <v>0.92175777063236874</v>
      </c>
      <c r="BG87" s="71">
        <f t="shared" si="286"/>
        <v>0.93302040079436721</v>
      </c>
      <c r="BH87" s="740">
        <f>BH36/BH23</f>
        <v>0.99220590900851913</v>
      </c>
      <c r="BI87" s="907">
        <v>0.99</v>
      </c>
      <c r="BJ87" s="982">
        <f>BJ36/BJ23</f>
        <v>0.95858701500871235</v>
      </c>
      <c r="BK87" s="907">
        <v>0.98</v>
      </c>
      <c r="BL87" s="907">
        <v>0.99</v>
      </c>
      <c r="BM87" s="907">
        <v>0.99</v>
      </c>
      <c r="BN87" s="907">
        <v>0.99</v>
      </c>
      <c r="BO87" s="982">
        <f>BO36/BO23</f>
        <v>0.98737117609701819</v>
      </c>
      <c r="BP87" s="984">
        <v>0.98000000000000009</v>
      </c>
      <c r="BQ87" s="984">
        <v>0.98000000000000009</v>
      </c>
      <c r="BR87" s="984">
        <v>0.98000000000000009</v>
      </c>
      <c r="BS87" s="71"/>
    </row>
    <row r="88" spans="1:71" s="27" customFormat="1" ht="15">
      <c r="A88" s="41" t="s">
        <v>66</v>
      </c>
      <c r="B88" s="434"/>
      <c r="C88" s="983">
        <f t="shared" si="287" ref="C88:AR88">C37/C24</f>
        <v>1.0146118721461188</v>
      </c>
      <c r="D88" s="983">
        <f t="shared" si="287"/>
        <v>1.0330115228900654</v>
      </c>
      <c r="E88" s="983">
        <f t="shared" si="287"/>
        <v>1.0232108317214701</v>
      </c>
      <c r="F88" s="983">
        <f t="shared" si="287"/>
        <v>1.0214693056021469</v>
      </c>
      <c r="G88" s="983">
        <f t="shared" si="287"/>
        <v>0.97586206896551719</v>
      </c>
      <c r="H88" s="71">
        <f t="shared" si="287"/>
        <v>1.0435684647302905</v>
      </c>
      <c r="I88" s="71">
        <f t="shared" si="287"/>
        <v>0.97037037037037033</v>
      </c>
      <c r="J88" s="71">
        <f t="shared" si="287"/>
        <v>0.94784172661870503</v>
      </c>
      <c r="K88" s="71">
        <f t="shared" si="287"/>
        <v>0.99428571428571433</v>
      </c>
      <c r="L88" s="983">
        <f t="shared" si="287"/>
        <v>0.98716119828815974</v>
      </c>
      <c r="M88" s="71">
        <f t="shared" si="287"/>
        <v>1.0543933054393306</v>
      </c>
      <c r="N88" s="71">
        <f t="shared" si="287"/>
        <v>0.98127340823970033</v>
      </c>
      <c r="O88" s="71">
        <f t="shared" si="287"/>
        <v>0.95398230088495573</v>
      </c>
      <c r="P88" s="71">
        <f t="shared" si="287"/>
        <v>1.0277777777777777</v>
      </c>
      <c r="Q88" s="983">
        <f t="shared" si="287"/>
        <v>1.0019221528111484</v>
      </c>
      <c r="R88" s="71">
        <f t="shared" si="287"/>
        <v>1.0574712643678161</v>
      </c>
      <c r="S88" s="71">
        <f t="shared" si="287"/>
        <v>0.98070175438596496</v>
      </c>
      <c r="T88" s="71">
        <f t="shared" si="287"/>
        <v>0.955</v>
      </c>
      <c r="U88" s="71">
        <f t="shared" si="287"/>
        <v>0.99481865284974091</v>
      </c>
      <c r="V88" s="983">
        <f t="shared" si="287"/>
        <v>0.99515631880228972</v>
      </c>
      <c r="W88" s="71">
        <f t="shared" si="287"/>
        <v>1.0202205882352942</v>
      </c>
      <c r="X88" s="71">
        <f t="shared" si="287"/>
        <v>0.96153846153846156</v>
      </c>
      <c r="Y88" s="71">
        <f t="shared" si="287"/>
        <v>0.96726677577741405</v>
      </c>
      <c r="Z88" s="71">
        <f t="shared" si="287"/>
        <v>0.96699669966996704</v>
      </c>
      <c r="AA88" s="983">
        <f t="shared" si="287"/>
        <v>0.97795676133955067</v>
      </c>
      <c r="AB88" s="71">
        <f t="shared" si="287"/>
        <v>1.0139372822299653</v>
      </c>
      <c r="AC88" s="71">
        <f t="shared" si="287"/>
        <v>0.92036753445635533</v>
      </c>
      <c r="AD88" s="71">
        <f t="shared" si="287"/>
        <v>0.95807453416149069</v>
      </c>
      <c r="AE88" s="71">
        <f t="shared" si="287"/>
        <v>0.94368340943683404</v>
      </c>
      <c r="AF88" s="983">
        <f t="shared" si="287"/>
        <v>0.95727848101265822</v>
      </c>
      <c r="AG88" s="71">
        <f t="shared" si="287"/>
        <v>1.0323679727427597</v>
      </c>
      <c r="AH88" s="71">
        <f t="shared" si="287"/>
        <v>0.89014084507042257</v>
      </c>
      <c r="AI88" s="71">
        <f t="shared" si="287"/>
        <v>0.89697802197802201</v>
      </c>
      <c r="AJ88" s="71">
        <f t="shared" si="287"/>
        <v>0.94397759103641454</v>
      </c>
      <c r="AK88" s="983">
        <f t="shared" si="287"/>
        <v>0.93647316538882808</v>
      </c>
      <c r="AL88" s="71">
        <f t="shared" si="287"/>
        <v>1.0060331825037707</v>
      </c>
      <c r="AM88" s="71">
        <f t="shared" si="287"/>
        <v>0.94414168937329701</v>
      </c>
      <c r="AN88" s="71">
        <f t="shared" si="287"/>
        <v>0.95888594164456231</v>
      </c>
      <c r="AO88" s="71">
        <f t="shared" si="287"/>
        <v>0.925</v>
      </c>
      <c r="AP88" s="983">
        <f t="shared" si="287"/>
        <v>0.95662487292443243</v>
      </c>
      <c r="AQ88" s="71">
        <f t="shared" si="287"/>
        <v>1.0276625172890732</v>
      </c>
      <c r="AR88" s="71">
        <f t="shared" si="287"/>
        <v>0.90866510538641687</v>
      </c>
      <c r="AS88" s="71">
        <f t="shared" si="281"/>
        <v>0.90156599552572703</v>
      </c>
      <c r="AT88" s="71">
        <f t="shared" si="281"/>
        <v>0.89834254143646408</v>
      </c>
      <c r="AU88" s="983">
        <f t="shared" si="281"/>
        <v>0.9295023696682464</v>
      </c>
      <c r="AV88" s="71">
        <f t="shared" si="282"/>
        <v>0.92970521541950113</v>
      </c>
      <c r="AW88" s="71">
        <f t="shared" si="282"/>
        <v>0.88461538461538458</v>
      </c>
      <c r="AX88" s="71">
        <f t="shared" si="283"/>
        <v>0.90975103734439833</v>
      </c>
      <c r="AY88" s="71">
        <f t="shared" si="283"/>
        <v>0.94155844155844159</v>
      </c>
      <c r="AZ88" s="983">
        <f t="shared" si="283"/>
        <v>0.91586280814576637</v>
      </c>
      <c r="BA88" s="71">
        <f t="shared" si="284"/>
        <v>0.98758465011286678</v>
      </c>
      <c r="BB88" s="71">
        <f t="shared" si="284"/>
        <v>0.94502074688796678</v>
      </c>
      <c r="BC88" s="71">
        <f t="shared" si="285"/>
        <v>0.93220338983050843</v>
      </c>
      <c r="BD88" s="71">
        <f t="shared" si="285"/>
        <v>0.9443882709807887</v>
      </c>
      <c r="BE88" s="983">
        <f t="shared" si="285"/>
        <v>0.95132743362831862</v>
      </c>
      <c r="BF88" s="71">
        <f t="shared" si="286"/>
        <v>1.0137857900318135</v>
      </c>
      <c r="BG88" s="71">
        <f t="shared" si="286"/>
        <v>0.93942307692307692</v>
      </c>
      <c r="BH88" s="740">
        <f>BH37/BH24</f>
        <v>0.94123134328358204</v>
      </c>
      <c r="BI88" s="907">
        <v>0.94</v>
      </c>
      <c r="BJ88" s="982">
        <f>BJ37/BJ24</f>
        <v>0.95724800795322085</v>
      </c>
      <c r="BK88" s="907">
        <v>0.94</v>
      </c>
      <c r="BL88" s="907">
        <v>0.94</v>
      </c>
      <c r="BM88" s="907">
        <v>0.94</v>
      </c>
      <c r="BN88" s="907">
        <v>0.94</v>
      </c>
      <c r="BO88" s="982">
        <f>BO37/BO24</f>
        <v>0.93999999999999984</v>
      </c>
      <c r="BP88" s="984">
        <v>0.94000000000000017</v>
      </c>
      <c r="BQ88" s="984">
        <v>0.94000000000000017</v>
      </c>
      <c r="BR88" s="984">
        <v>0.94000000000000017</v>
      </c>
      <c r="BS88" s="71"/>
    </row>
    <row r="89" spans="1:71" s="27" customFormat="1" ht="15">
      <c r="A89" s="328" t="s">
        <v>67</v>
      </c>
      <c r="B89" s="436"/>
      <c r="C89" s="986">
        <f t="shared" si="288" ref="C89:AR89">C38/C25</f>
        <v>0.99552384948943906</v>
      </c>
      <c r="D89" s="986">
        <f t="shared" si="288"/>
        <v>0.97119069644509048</v>
      </c>
      <c r="E89" s="986">
        <f t="shared" si="288"/>
        <v>0.97985797288573273</v>
      </c>
      <c r="F89" s="986">
        <f t="shared" si="288"/>
        <v>1.0035554385040821</v>
      </c>
      <c r="G89" s="986">
        <f t="shared" si="288"/>
        <v>1.0137024221453288</v>
      </c>
      <c r="H89" s="322">
        <f t="shared" si="288"/>
        <v>1.0883261272390365</v>
      </c>
      <c r="I89" s="322">
        <f t="shared" si="288"/>
        <v>0.93660855784469099</v>
      </c>
      <c r="J89" s="322">
        <f t="shared" si="288"/>
        <v>0.93688054251434538</v>
      </c>
      <c r="K89" s="322">
        <f t="shared" si="288"/>
        <v>1.0334101382488479</v>
      </c>
      <c r="L89" s="986">
        <f t="shared" si="288"/>
        <v>0.994417306350314</v>
      </c>
      <c r="M89" s="322">
        <f t="shared" si="288"/>
        <v>1.0875462392108508</v>
      </c>
      <c r="N89" s="322">
        <f t="shared" si="288"/>
        <v>0.91922290388548056</v>
      </c>
      <c r="O89" s="322">
        <f t="shared" si="288"/>
        <v>0.90373280943025536</v>
      </c>
      <c r="P89" s="322">
        <f t="shared" si="288"/>
        <v>1.0124796527400977</v>
      </c>
      <c r="Q89" s="986">
        <f t="shared" si="288"/>
        <v>0.974654686871396</v>
      </c>
      <c r="R89" s="322">
        <f t="shared" si="288"/>
        <v>1.0695329087048833</v>
      </c>
      <c r="S89" s="322">
        <f t="shared" si="288"/>
        <v>0.8983933999131567</v>
      </c>
      <c r="T89" s="322">
        <f t="shared" si="288"/>
        <v>0.89087880049979173</v>
      </c>
      <c r="U89" s="322">
        <f t="shared" si="288"/>
        <v>0.99863574351978168</v>
      </c>
      <c r="V89" s="986">
        <f t="shared" si="288"/>
        <v>0.95811994992602711</v>
      </c>
      <c r="W89" s="322">
        <f t="shared" si="288"/>
        <v>1.0491412213740459</v>
      </c>
      <c r="X89" s="322">
        <f t="shared" si="288"/>
        <v>0.90952762209767812</v>
      </c>
      <c r="Y89" s="322">
        <f t="shared" si="288"/>
        <v>0.90095602294455068</v>
      </c>
      <c r="Z89" s="322">
        <f t="shared" si="288"/>
        <v>1.0092398152036959</v>
      </c>
      <c r="AA89" s="986">
        <f t="shared" si="288"/>
        <v>0.96246089676746616</v>
      </c>
      <c r="AB89" s="322">
        <f t="shared" si="288"/>
        <v>1.0580673758865249</v>
      </c>
      <c r="AC89" s="322">
        <f t="shared" si="288"/>
        <v>0.90952910641453466</v>
      </c>
      <c r="AD89" s="322">
        <f t="shared" si="288"/>
        <v>0.91046931407942233</v>
      </c>
      <c r="AE89" s="322">
        <f t="shared" si="288"/>
        <v>1.0215913634546181</v>
      </c>
      <c r="AF89" s="986">
        <f t="shared" si="288"/>
        <v>0.96997261345852892</v>
      </c>
      <c r="AG89" s="322">
        <f t="shared" si="288"/>
        <v>1.0866926744690073</v>
      </c>
      <c r="AH89" s="322">
        <f t="shared" si="288"/>
        <v>0.89776692254012558</v>
      </c>
      <c r="AI89" s="322">
        <f t="shared" si="288"/>
        <v>0.89566395663956644</v>
      </c>
      <c r="AJ89" s="322">
        <f t="shared" si="288"/>
        <v>1.009405568096313</v>
      </c>
      <c r="AK89" s="986">
        <f t="shared" si="288"/>
        <v>0.9651302976908096</v>
      </c>
      <c r="AL89" s="322">
        <f t="shared" si="288"/>
        <v>1.0822302446851184</v>
      </c>
      <c r="AM89" s="322">
        <f t="shared" si="288"/>
        <v>0.89135802469135805</v>
      </c>
      <c r="AN89" s="322">
        <f t="shared" si="288"/>
        <v>0.88442211055276387</v>
      </c>
      <c r="AO89" s="322">
        <f t="shared" si="288"/>
        <v>1.0169133192389006</v>
      </c>
      <c r="AP89" s="986">
        <f t="shared" si="288"/>
        <v>0.96273127753303966</v>
      </c>
      <c r="AQ89" s="322">
        <f t="shared" si="288"/>
        <v>1.0703801279638689</v>
      </c>
      <c r="AR89" s="322">
        <f t="shared" si="288"/>
        <v>0.89669797031202669</v>
      </c>
      <c r="AS89" s="322">
        <f t="shared" si="281"/>
        <v>0.89557054854796125</v>
      </c>
      <c r="AT89" s="322">
        <f t="shared" si="281"/>
        <v>1.0006402048655569</v>
      </c>
      <c r="AU89" s="986">
        <f t="shared" si="281"/>
        <v>0.95933071811704429</v>
      </c>
      <c r="AV89" s="322">
        <f t="shared" si="282"/>
        <v>1.0469326181696279</v>
      </c>
      <c r="AW89" s="322">
        <f t="shared" si="282"/>
        <v>0.8814111261872456</v>
      </c>
      <c r="AX89" s="322">
        <f t="shared" si="283"/>
        <v>0.87603519668737062</v>
      </c>
      <c r="AY89" s="322">
        <f t="shared" si="283"/>
        <v>0.99402560455192035</v>
      </c>
      <c r="AZ89" s="986">
        <f t="shared" si="283"/>
        <v>0.94326190645689467</v>
      </c>
      <c r="BA89" s="322">
        <f t="shared" si="284"/>
        <v>1.0444378168804056</v>
      </c>
      <c r="BB89" s="322">
        <f t="shared" si="284"/>
        <v>0.87604690117252937</v>
      </c>
      <c r="BC89" s="322">
        <f t="shared" si="285"/>
        <v>0.86780045351473922</v>
      </c>
      <c r="BD89" s="322">
        <f t="shared" si="285"/>
        <v>0.99623777276147474</v>
      </c>
      <c r="BE89" s="986">
        <f t="shared" si="285"/>
        <v>0.93929311318977959</v>
      </c>
      <c r="BF89" s="322">
        <f t="shared" si="286"/>
        <v>1.1007411474059841</v>
      </c>
      <c r="BG89" s="322">
        <f t="shared" si="286"/>
        <v>0.90343915343915349</v>
      </c>
      <c r="BH89" s="741">
        <f>BH38/BH25</f>
        <v>0.89276649746192893</v>
      </c>
      <c r="BI89" s="909">
        <v>0.99</v>
      </c>
      <c r="BJ89" s="985">
        <f>BJ38/BJ25</f>
        <v>0.96369022345277155</v>
      </c>
      <c r="BK89" s="909">
        <v>0.96</v>
      </c>
      <c r="BL89" s="909">
        <v>0.99</v>
      </c>
      <c r="BM89" s="909">
        <v>0.99</v>
      </c>
      <c r="BN89" s="909">
        <v>0.99</v>
      </c>
      <c r="BO89" s="985">
        <f>BO38/BO25</f>
        <v>0.9833877287509315</v>
      </c>
      <c r="BP89" s="987">
        <v>0.96</v>
      </c>
      <c r="BQ89" s="987">
        <v>0.96</v>
      </c>
      <c r="BR89" s="987">
        <v>0.96</v>
      </c>
      <c r="BS89" s="71"/>
    </row>
    <row r="90" spans="1:71" s="28" customFormat="1" ht="15">
      <c r="A90" s="93" t="s">
        <v>68</v>
      </c>
      <c r="B90" s="455"/>
      <c r="C90" s="989">
        <f t="shared" si="289" ref="C90:AR90">C39/C26</f>
        <v>1.0038432695913011</v>
      </c>
      <c r="D90" s="1012">
        <f t="shared" si="289"/>
        <v>0.9906170556967876</v>
      </c>
      <c r="E90" s="1012">
        <f t="shared" si="289"/>
        <v>0.99562807049172941</v>
      </c>
      <c r="F90" s="1012">
        <f t="shared" si="289"/>
        <v>0.99599055553080584</v>
      </c>
      <c r="G90" s="1012">
        <f t="shared" si="289"/>
        <v>0.99428998111301448</v>
      </c>
      <c r="H90" s="97">
        <f t="shared" si="289"/>
        <v>0.99148646347692837</v>
      </c>
      <c r="I90" s="97">
        <f t="shared" si="289"/>
        <v>0.96108949416342415</v>
      </c>
      <c r="J90" s="97">
        <f t="shared" si="289"/>
        <v>0.99171224929554114</v>
      </c>
      <c r="K90" s="97">
        <f t="shared" si="289"/>
        <v>1.0245030843043181</v>
      </c>
      <c r="L90" s="1012">
        <f t="shared" si="289"/>
        <v>0.99176076955248849</v>
      </c>
      <c r="M90" s="97">
        <f t="shared" si="289"/>
        <v>0.99847380023740884</v>
      </c>
      <c r="N90" s="97">
        <f t="shared" si="289"/>
        <v>0.96142000324201649</v>
      </c>
      <c r="O90" s="97">
        <f t="shared" si="289"/>
        <v>0.97431755774511386</v>
      </c>
      <c r="P90" s="97">
        <f t="shared" si="289"/>
        <v>1.0271145975443383</v>
      </c>
      <c r="Q90" s="1012">
        <f t="shared" si="289"/>
        <v>0.98975996020065504</v>
      </c>
      <c r="R90" s="97">
        <f t="shared" si="289"/>
        <v>0.96999675640609795</v>
      </c>
      <c r="S90" s="97">
        <f t="shared" si="289"/>
        <v>0.95618597320724985</v>
      </c>
      <c r="T90" s="97">
        <f t="shared" si="289"/>
        <v>0.97182657692909691</v>
      </c>
      <c r="U90" s="97">
        <f t="shared" si="289"/>
        <v>1.0361505447342356</v>
      </c>
      <c r="V90" s="1012">
        <f t="shared" si="289"/>
        <v>0.98301145925154254</v>
      </c>
      <c r="W90" s="97">
        <f t="shared" si="289"/>
        <v>0.95196304849884528</v>
      </c>
      <c r="X90" s="97">
        <f t="shared" si="289"/>
        <v>0.95647590361445778</v>
      </c>
      <c r="Y90" s="97">
        <f t="shared" si="289"/>
        <v>0.97942942942942945</v>
      </c>
      <c r="Z90" s="97">
        <f t="shared" si="289"/>
        <v>1.0314445828144458</v>
      </c>
      <c r="AA90" s="1012">
        <f t="shared" si="289"/>
        <v>0.97955680994698502</v>
      </c>
      <c r="AB90" s="97">
        <f t="shared" si="289"/>
        <v>0.95794255568581477</v>
      </c>
      <c r="AC90" s="97">
        <f t="shared" si="289"/>
        <v>0.93885850511849667</v>
      </c>
      <c r="AD90" s="97">
        <f t="shared" si="289"/>
        <v>0.97451146983857262</v>
      </c>
      <c r="AE90" s="97">
        <f t="shared" si="289"/>
        <v>1.0379614407412943</v>
      </c>
      <c r="AF90" s="1012">
        <f t="shared" si="289"/>
        <v>0.97657716183051824</v>
      </c>
      <c r="AG90" s="97">
        <f t="shared" si="289"/>
        <v>0.97137593878418593</v>
      </c>
      <c r="AH90" s="97">
        <f t="shared" si="289"/>
        <v>0.93798657718120804</v>
      </c>
      <c r="AI90" s="97">
        <f t="shared" si="289"/>
        <v>0.94847403884264769</v>
      </c>
      <c r="AJ90" s="97">
        <f t="shared" si="289"/>
        <v>1.0247349823321554</v>
      </c>
      <c r="AK90" s="1012">
        <f t="shared" si="289"/>
        <v>0.96984666049192136</v>
      </c>
      <c r="AL90" s="97">
        <f t="shared" si="289"/>
        <v>0.98407296487884566</v>
      </c>
      <c r="AM90" s="97">
        <f t="shared" si="289"/>
        <v>0.94677375442417644</v>
      </c>
      <c r="AN90" s="97">
        <f t="shared" si="289"/>
        <v>0.94968472526058423</v>
      </c>
      <c r="AO90" s="97">
        <f t="shared" si="289"/>
        <v>1.0290273765304718</v>
      </c>
      <c r="AP90" s="1012">
        <f t="shared" si="289"/>
        <v>0.97685994887663119</v>
      </c>
      <c r="AQ90" s="97">
        <f t="shared" si="289"/>
        <v>0.98414390406395735</v>
      </c>
      <c r="AR90" s="97">
        <f t="shared" si="289"/>
        <v>0.93620159803318992</v>
      </c>
      <c r="AS90" s="97">
        <f t="shared" si="281"/>
        <v>0.94053339740509367</v>
      </c>
      <c r="AT90" s="97">
        <f t="shared" si="281"/>
        <v>1.0027493126718321</v>
      </c>
      <c r="AU90" s="1012">
        <f t="shared" si="281"/>
        <v>0.96524432209222299</v>
      </c>
      <c r="AV90" s="97">
        <f t="shared" si="282"/>
        <v>0.95781044579897212</v>
      </c>
      <c r="AW90" s="97">
        <f t="shared" si="282"/>
        <v>0.92206208425720626</v>
      </c>
      <c r="AX90" s="97">
        <f t="shared" si="283"/>
        <v>0.93661665579473796</v>
      </c>
      <c r="AY90" s="97">
        <f t="shared" si="283"/>
        <v>0.99864084267753994</v>
      </c>
      <c r="AZ90" s="1012">
        <f t="shared" si="283"/>
        <v>0.95338001920144577</v>
      </c>
      <c r="BA90" s="97">
        <f t="shared" si="284"/>
        <v>0.94231587909748826</v>
      </c>
      <c r="BB90" s="97">
        <f t="shared" si="284"/>
        <v>0.89319635588292301</v>
      </c>
      <c r="BC90" s="97">
        <f t="shared" si="285"/>
        <v>0.92614123701515294</v>
      </c>
      <c r="BD90" s="97">
        <f t="shared" si="285"/>
        <v>0.99789873924354611</v>
      </c>
      <c r="BE90" s="1012">
        <f t="shared" si="285"/>
        <v>0.93930499241312404</v>
      </c>
      <c r="BF90" s="97">
        <f t="shared" si="286"/>
        <v>0.99430479183032205</v>
      </c>
      <c r="BG90" s="97">
        <f t="shared" si="286"/>
        <v>0.92154745838956365</v>
      </c>
      <c r="BH90" s="750">
        <f>BH39/BH26</f>
        <v>0.9458337015110011</v>
      </c>
      <c r="BI90" s="648">
        <f>BI39/BI26</f>
        <v>0.98506557163794639</v>
      </c>
      <c r="BJ90" s="1013">
        <f>BJ39/BJ26</f>
        <v>0.96048691549338649</v>
      </c>
      <c r="BK90" s="648">
        <f>BK39/BK26</f>
        <v>0.96910781617504171</v>
      </c>
      <c r="BL90" s="648">
        <f>BL39/BL26</f>
        <v>0.98537788613518007</v>
      </c>
      <c r="BM90" s="648">
        <f>BM39/BM26</f>
        <v>0.98533791325568565</v>
      </c>
      <c r="BN90" s="648">
        <f>BN39/BN26</f>
        <v>0.98512265118026598</v>
      </c>
      <c r="BO90" s="1013">
        <f>BO39/BO26</f>
        <v>0.98133753181660444</v>
      </c>
      <c r="BP90" s="1013">
        <f>BP39/BP26</f>
        <v>0.96789621955839178</v>
      </c>
      <c r="BQ90" s="1013">
        <f>BQ39/BQ26</f>
        <v>0.96768987721736865</v>
      </c>
      <c r="BR90" s="1013">
        <f>BR39/BR26</f>
        <v>0.96748435794210352</v>
      </c>
      <c r="BS90" s="43"/>
    </row>
    <row r="91" spans="1:71" s="27" customFormat="1" ht="15">
      <c r="A91" s="457"/>
      <c r="B91" s="456"/>
      <c r="C91" s="982"/>
      <c r="D91" s="982"/>
      <c r="E91" s="982"/>
      <c r="F91" s="982"/>
      <c r="G91" s="982"/>
      <c r="H91" s="435"/>
      <c r="I91" s="435"/>
      <c r="J91" s="435"/>
      <c r="K91" s="435"/>
      <c r="L91" s="982"/>
      <c r="M91" s="435"/>
      <c r="N91" s="435"/>
      <c r="O91" s="435"/>
      <c r="P91" s="435"/>
      <c r="Q91" s="982"/>
      <c r="R91" s="435"/>
      <c r="S91" s="435"/>
      <c r="T91" s="435"/>
      <c r="U91" s="435"/>
      <c r="V91" s="982"/>
      <c r="W91" s="435"/>
      <c r="X91" s="435"/>
      <c r="Y91" s="435"/>
      <c r="Z91" s="435"/>
      <c r="AA91" s="982"/>
      <c r="AB91" s="435"/>
      <c r="AC91" s="435"/>
      <c r="AD91" s="435"/>
      <c r="AE91" s="435"/>
      <c r="AF91" s="982"/>
      <c r="AG91" s="435"/>
      <c r="AH91" s="435"/>
      <c r="AI91" s="435"/>
      <c r="AJ91" s="435"/>
      <c r="AK91" s="982"/>
      <c r="AL91" s="435"/>
      <c r="AM91" s="435"/>
      <c r="AN91" s="435"/>
      <c r="AO91" s="435"/>
      <c r="AP91" s="982"/>
      <c r="AQ91" s="435"/>
      <c r="AR91" s="435"/>
      <c r="AS91" s="435"/>
      <c r="AT91" s="435"/>
      <c r="AU91" s="982"/>
      <c r="AV91" s="435"/>
      <c r="AW91" s="435"/>
      <c r="AX91" s="435"/>
      <c r="AY91" s="435"/>
      <c r="AZ91" s="982"/>
      <c r="BA91" s="435"/>
      <c r="BB91" s="435"/>
      <c r="BC91" s="435"/>
      <c r="BD91" s="435"/>
      <c r="BE91" s="982"/>
      <c r="BF91" s="435"/>
      <c r="BG91" s="435"/>
      <c r="BH91" s="751"/>
      <c r="BI91" s="435"/>
      <c r="BJ91" s="982"/>
      <c r="BK91" s="435"/>
      <c r="BL91" s="435"/>
      <c r="BM91" s="435"/>
      <c r="BN91" s="435"/>
      <c r="BO91" s="982"/>
      <c r="BP91" s="982"/>
      <c r="BQ91" s="982"/>
      <c r="BR91" s="982"/>
      <c r="BS91" s="71"/>
    </row>
    <row r="92" spans="1:71" s="27" customFormat="1" ht="15">
      <c r="A92" s="456" t="s">
        <v>547</v>
      </c>
      <c r="B92" s="456"/>
      <c r="C92" s="982">
        <f t="shared" si="290" ref="C92:AQ92">C95-C93-C94</f>
        <v>0.62741940189642598</v>
      </c>
      <c r="D92" s="982">
        <f t="shared" si="290"/>
        <v>0.64712409437116847</v>
      </c>
      <c r="E92" s="982">
        <f t="shared" si="290"/>
        <v>0.67774026661958153</v>
      </c>
      <c r="F92" s="982">
        <f t="shared" si="290"/>
        <v>0.64405542725173204</v>
      </c>
      <c r="G92" s="982">
        <f t="shared" si="290"/>
        <v>0.62643714371437142</v>
      </c>
      <c r="H92" s="435">
        <f t="shared" si="290"/>
        <v>0.61486059584035979</v>
      </c>
      <c r="I92" s="435">
        <f t="shared" si="290"/>
        <v>0.62312228036353612</v>
      </c>
      <c r="J92" s="435">
        <f t="shared" si="290"/>
        <v>0.64180874316939895</v>
      </c>
      <c r="K92" s="435">
        <f t="shared" si="290"/>
        <v>0.6287695877695878</v>
      </c>
      <c r="L92" s="982">
        <f t="shared" si="290"/>
        <v>0.62716813671444327</v>
      </c>
      <c r="M92" s="435">
        <f t="shared" si="290"/>
        <v>0.61969060773480666</v>
      </c>
      <c r="N92" s="435">
        <f t="shared" si="290"/>
        <v>0.61911637572734834</v>
      </c>
      <c r="O92" s="435">
        <f t="shared" si="290"/>
        <v>0.61318341089515471</v>
      </c>
      <c r="P92" s="435">
        <f t="shared" si="290"/>
        <v>0.63250123660346258</v>
      </c>
      <c r="Q92" s="982">
        <f t="shared" si="290"/>
        <v>0.62108195027890645</v>
      </c>
      <c r="R92" s="435">
        <f t="shared" si="290"/>
        <v>0.62721323960164033</v>
      </c>
      <c r="S92" s="435">
        <f t="shared" si="290"/>
        <v>0.64051526606571674</v>
      </c>
      <c r="T92" s="435">
        <f t="shared" si="290"/>
        <v>0.63027166142407776</v>
      </c>
      <c r="U92" s="435">
        <f t="shared" si="290"/>
        <v>0.61889015691868765</v>
      </c>
      <c r="V92" s="982">
        <f t="shared" si="290"/>
        <v>0.62875748827138211</v>
      </c>
      <c r="W92" s="435">
        <f t="shared" si="290"/>
        <v>0.64054243219597551</v>
      </c>
      <c r="X92" s="435">
        <f t="shared" si="290"/>
        <v>0.6411050228310502</v>
      </c>
      <c r="Y92" s="435">
        <f t="shared" si="290"/>
        <v>0.66214093959731546</v>
      </c>
      <c r="Z92" s="435">
        <f t="shared" si="290"/>
        <v>0.6312238108331043</v>
      </c>
      <c r="AA92" s="982">
        <f t="shared" si="290"/>
        <v>0.64405245299024472</v>
      </c>
      <c r="AB92" s="435">
        <f t="shared" si="290"/>
        <v>0.65040358744394622</v>
      </c>
      <c r="AC92" s="435">
        <f t="shared" si="290"/>
        <v>0.65923015655039818</v>
      </c>
      <c r="AD92" s="435">
        <f t="shared" si="290"/>
        <v>0.65678974084958586</v>
      </c>
      <c r="AE92" s="435">
        <f t="shared" si="290"/>
        <v>0.66079575596816975</v>
      </c>
      <c r="AF92" s="982">
        <f t="shared" si="290"/>
        <v>0.65687080559706557</v>
      </c>
      <c r="AG92" s="435">
        <f t="shared" si="290"/>
        <v>0.65847087119187597</v>
      </c>
      <c r="AH92" s="435">
        <f t="shared" si="290"/>
        <v>0.67301850383293682</v>
      </c>
      <c r="AI92" s="435">
        <f t="shared" si="290"/>
        <v>0.66901030396702732</v>
      </c>
      <c r="AJ92" s="435">
        <f t="shared" si="290"/>
        <v>0.67458951965065506</v>
      </c>
      <c r="AK92" s="982">
        <f t="shared" si="290"/>
        <v>0.66953594771241831</v>
      </c>
      <c r="AL92" s="435">
        <f t="shared" si="290"/>
        <v>0.67330848861283643</v>
      </c>
      <c r="AM92" s="435">
        <f t="shared" si="290"/>
        <v>0.67008433734939765</v>
      </c>
      <c r="AN92" s="435">
        <f t="shared" si="290"/>
        <v>0.64701822442072365</v>
      </c>
      <c r="AO92" s="435">
        <f t="shared" si="290"/>
        <v>0.64230721328489881</v>
      </c>
      <c r="AP92" s="982">
        <f t="shared" si="290"/>
        <v>0.65842081862168167</v>
      </c>
      <c r="AQ92" s="435">
        <f t="shared" si="290"/>
        <v>0.63587733614108977</v>
      </c>
      <c r="AR92" s="435">
        <f t="shared" si="291" ref="AR92:AW92">AR95-AR93-AR94</f>
        <v>0.63438144329896906</v>
      </c>
      <c r="AS92" s="435">
        <f t="shared" si="291"/>
        <v>0.60785642317380351</v>
      </c>
      <c r="AT92" s="435">
        <f t="shared" si="291"/>
        <v>0.60768176254589967</v>
      </c>
      <c r="AU92" s="982">
        <f t="shared" si="291"/>
        <v>0.62086182788864874</v>
      </c>
      <c r="AV92" s="435">
        <f t="shared" si="291"/>
        <v>0.62653868828297721</v>
      </c>
      <c r="AW92" s="435">
        <f t="shared" si="291"/>
        <v>0.63163963963963965</v>
      </c>
      <c r="AX92" s="435">
        <f t="shared" si="292" ref="AX92:BC92">AX95-AX93-AX94</f>
        <v>0.61676108430967147</v>
      </c>
      <c r="AY92" s="435">
        <f t="shared" si="292"/>
        <v>0.61441724679991017</v>
      </c>
      <c r="AZ92" s="982">
        <f t="shared" si="292"/>
        <v>0.62202281368821288</v>
      </c>
      <c r="BA92" s="435">
        <f t="shared" si="292"/>
        <v>0.60931874022783106</v>
      </c>
      <c r="BB92" s="435">
        <f t="shared" si="292"/>
        <v>0.60273298880275628</v>
      </c>
      <c r="BC92" s="435">
        <f t="shared" si="292"/>
        <v>0.61604842615012101</v>
      </c>
      <c r="BD92" s="435">
        <f>BD95-BD93-BD94</f>
        <v>0.58993507006118018</v>
      </c>
      <c r="BE92" s="982">
        <f>BE95-BE93-BE94</f>
        <v>0.60518428750522357</v>
      </c>
      <c r="BF92" s="435">
        <f>BF95-BF93-BF94</f>
        <v>0.60454263565891464</v>
      </c>
      <c r="BG92" s="435">
        <f>BG95-BG93-BG94</f>
        <v>0.60263312693498461</v>
      </c>
      <c r="BH92" s="751">
        <f>BH95-BH93-BH94</f>
        <v>0.59655717939349651</v>
      </c>
      <c r="BI92" s="907">
        <v>0.63</v>
      </c>
      <c r="BJ92" s="982">
        <f>BJ42/BJ$36</f>
        <v>0.60820659301658808</v>
      </c>
      <c r="BK92" s="907">
        <v>0.63</v>
      </c>
      <c r="BL92" s="907">
        <v>0.63</v>
      </c>
      <c r="BM92" s="907">
        <v>0.62</v>
      </c>
      <c r="BN92" s="907">
        <v>0.63</v>
      </c>
      <c r="BO92" s="982">
        <f>BO42/BO$36</f>
        <v>0.62745089527935416</v>
      </c>
      <c r="BP92" s="984">
        <v>0.63</v>
      </c>
      <c r="BQ92" s="984">
        <v>0.62</v>
      </c>
      <c r="BR92" s="984">
        <v>0.63</v>
      </c>
      <c r="BS92" s="71"/>
    </row>
    <row r="93" spans="1:71" s="570" customFormat="1" ht="15">
      <c r="A93" s="456" t="s">
        <v>388</v>
      </c>
      <c r="B93" s="434"/>
      <c r="C93" s="1014">
        <f t="shared" si="293" ref="C93:AR93">C196</f>
        <v>-0.092999999999999999</v>
      </c>
      <c r="D93" s="1014">
        <f t="shared" si="293"/>
        <v>-0.084000000000000005</v>
      </c>
      <c r="E93" s="1014">
        <f t="shared" si="293"/>
        <v>-0.021999999999999999</v>
      </c>
      <c r="F93" s="1014">
        <f t="shared" si="293"/>
        <v>-0.04</v>
      </c>
      <c r="G93" s="1014">
        <f t="shared" si="293"/>
        <v>-0.03</v>
      </c>
      <c r="H93" s="442">
        <f t="shared" si="293"/>
        <v>-0.027</v>
      </c>
      <c r="I93" s="442">
        <f t="shared" si="293"/>
        <v>-0.012999999999999999</v>
      </c>
      <c r="J93" s="442">
        <f t="shared" si="293"/>
        <v>-0.0060000000000000001</v>
      </c>
      <c r="K93" s="442">
        <f t="shared" si="293"/>
        <v>-0.042999999999999997</v>
      </c>
      <c r="L93" s="1014">
        <f t="shared" si="293"/>
        <v>-0.021999999999999999</v>
      </c>
      <c r="M93" s="442">
        <f t="shared" si="293"/>
        <v>-0.021000000000000001</v>
      </c>
      <c r="N93" s="442">
        <f t="shared" si="293"/>
        <v>-0.028000000000000001</v>
      </c>
      <c r="O93" s="442">
        <f t="shared" si="293"/>
        <v>-0.014</v>
      </c>
      <c r="P93" s="442">
        <f t="shared" si="293"/>
        <v>-0.048000000000000001</v>
      </c>
      <c r="Q93" s="1014">
        <f t="shared" si="293"/>
        <v>-0.028000000000000001</v>
      </c>
      <c r="R93" s="442">
        <f t="shared" si="293"/>
        <v>-0.021999999999999999</v>
      </c>
      <c r="S93" s="442">
        <f t="shared" si="293"/>
        <v>-0.035999999999999997</v>
      </c>
      <c r="T93" s="442">
        <f t="shared" si="293"/>
        <v>-0.001</v>
      </c>
      <c r="U93" s="442">
        <f t="shared" si="293"/>
        <v>-0.063</v>
      </c>
      <c r="V93" s="1014">
        <f t="shared" si="293"/>
        <v>-0.031</v>
      </c>
      <c r="W93" s="442">
        <f t="shared" si="293"/>
        <v>-0.017999999999999999</v>
      </c>
      <c r="X93" s="442">
        <f t="shared" si="293"/>
        <v>-0.035999999999999997</v>
      </c>
      <c r="Y93" s="442">
        <f t="shared" si="293"/>
        <v>-0.0030000000000000001</v>
      </c>
      <c r="Z93" s="442">
        <f t="shared" si="293"/>
        <v>-0.067000000000000004</v>
      </c>
      <c r="AA93" s="1014">
        <f t="shared" si="293"/>
        <v>-0.031</v>
      </c>
      <c r="AB93" s="442">
        <f t="shared" si="293"/>
        <v>-0.019</v>
      </c>
      <c r="AC93" s="442">
        <f t="shared" si="293"/>
        <v>-0.023</v>
      </c>
      <c r="AD93" s="442">
        <f t="shared" si="293"/>
        <v>0.015</v>
      </c>
      <c r="AE93" s="442">
        <f t="shared" si="293"/>
        <v>-0.012</v>
      </c>
      <c r="AF93" s="1014">
        <f t="shared" si="293"/>
        <v>-0.01</v>
      </c>
      <c r="AG93" s="442">
        <f t="shared" si="293"/>
        <v>0.0060000000000000001</v>
      </c>
      <c r="AH93" s="442">
        <f t="shared" si="293"/>
        <v>-0.019</v>
      </c>
      <c r="AI93" s="442">
        <f t="shared" si="293"/>
        <v>0.081000000000000003</v>
      </c>
      <c r="AJ93" s="442">
        <f t="shared" si="293"/>
        <v>-0.002</v>
      </c>
      <c r="AK93" s="1014">
        <f t="shared" si="293"/>
        <v>0.017000000000000001</v>
      </c>
      <c r="AL93" s="442">
        <f t="shared" si="293"/>
        <v>-0.001</v>
      </c>
      <c r="AM93" s="442">
        <f t="shared" si="293"/>
        <v>0</v>
      </c>
      <c r="AN93" s="442">
        <f t="shared" si="293"/>
        <v>0.058000000000000003</v>
      </c>
      <c r="AO93" s="442">
        <f t="shared" si="293"/>
        <v>-0.032000000000000001</v>
      </c>
      <c r="AP93" s="1014">
        <f t="shared" si="293"/>
        <v>0.0060000000000000001</v>
      </c>
      <c r="AQ93" s="442">
        <f t="shared" si="293"/>
        <v>-0.035000000000000003</v>
      </c>
      <c r="AR93" s="442">
        <f t="shared" si="293"/>
        <v>-0.019</v>
      </c>
      <c r="AS93" s="442">
        <f t="shared" si="294" ref="AS93:AU94">AS196</f>
        <v>0.027</v>
      </c>
      <c r="AT93" s="442">
        <f t="shared" si="294"/>
        <v>-0.017999999999999999</v>
      </c>
      <c r="AU93" s="1014">
        <f t="shared" si="294"/>
        <v>-0.010999999999999999</v>
      </c>
      <c r="AV93" s="442">
        <f t="shared" si="295" ref="AV93:AX94">AV196</f>
        <v>-0.028000000000000001</v>
      </c>
      <c r="AW93" s="442">
        <f t="shared" si="295"/>
        <v>-0.048000000000000001</v>
      </c>
      <c r="AX93" s="442">
        <f t="shared" si="295"/>
        <v>0.014</v>
      </c>
      <c r="AY93" s="442">
        <f t="shared" si="296" ref="AY93:BA94">AY196</f>
        <v>-0.028000000000000001</v>
      </c>
      <c r="AZ93" s="1014">
        <f t="shared" si="296"/>
        <v>-0.021999999999999999</v>
      </c>
      <c r="BA93" s="442">
        <f t="shared" si="296"/>
        <v>-0.0040000000000000001</v>
      </c>
      <c r="BB93" s="442">
        <f t="shared" si="297" ref="BB93:BE94">BB196</f>
        <v>0.021999999999999999</v>
      </c>
      <c r="BC93" s="442">
        <f t="shared" si="297"/>
        <v>0.052999999999999999</v>
      </c>
      <c r="BD93" s="442">
        <f t="shared" si="297"/>
        <v>-0.010999999999999999</v>
      </c>
      <c r="BE93" s="1014">
        <f t="shared" si="297"/>
        <v>0.015</v>
      </c>
      <c r="BF93" s="442">
        <f t="shared" si="298" ref="BF93:BH94">BF196</f>
        <v>0</v>
      </c>
      <c r="BG93" s="442">
        <f t="shared" si="298"/>
        <v>-0.0060000000000000001</v>
      </c>
      <c r="BH93" s="752">
        <f t="shared" si="298"/>
        <v>0.017000000000000001</v>
      </c>
      <c r="BI93" s="911">
        <v>0</v>
      </c>
      <c r="BJ93" s="1014">
        <f>BJ43/BJ$36</f>
        <v>0.0029664520603361415</v>
      </c>
      <c r="BK93" s="911">
        <v>0</v>
      </c>
      <c r="BL93" s="911">
        <v>0</v>
      </c>
      <c r="BM93" s="911">
        <v>0</v>
      </c>
      <c r="BN93" s="911">
        <v>0</v>
      </c>
      <c r="BO93" s="1014">
        <f>BO43/BO$36</f>
        <v>0</v>
      </c>
      <c r="BP93" s="1015">
        <v>0</v>
      </c>
      <c r="BQ93" s="1015">
        <v>0</v>
      </c>
      <c r="BR93" s="1015">
        <v>0</v>
      </c>
      <c r="BS93" s="41"/>
    </row>
    <row r="94" spans="1:71" s="570" customFormat="1" ht="15">
      <c r="A94" s="461" t="s">
        <v>389</v>
      </c>
      <c r="B94" s="436"/>
      <c r="C94" s="1016">
        <f t="shared" si="299" ref="C94:AR94">C197</f>
        <v>0.016</v>
      </c>
      <c r="D94" s="1016">
        <f t="shared" si="299"/>
        <v>0.041000000000000002</v>
      </c>
      <c r="E94" s="1016">
        <f t="shared" si="299"/>
        <v>0.09</v>
      </c>
      <c r="F94" s="1016">
        <f t="shared" si="299"/>
        <v>0.068000000000000005</v>
      </c>
      <c r="G94" s="1016">
        <f t="shared" si="299"/>
        <v>0.025</v>
      </c>
      <c r="H94" s="572">
        <f t="shared" si="299"/>
        <v>0.024</v>
      </c>
      <c r="I94" s="572">
        <f t="shared" si="299"/>
        <v>0.066000000000000003</v>
      </c>
      <c r="J94" s="572">
        <f t="shared" si="299"/>
        <v>0.0089999999999999993</v>
      </c>
      <c r="K94" s="572">
        <f t="shared" si="299"/>
        <v>0.002</v>
      </c>
      <c r="L94" s="1016">
        <f t="shared" si="299"/>
        <v>0.025</v>
      </c>
      <c r="M94" s="572">
        <f t="shared" si="299"/>
        <v>0.027</v>
      </c>
      <c r="N94" s="572">
        <f t="shared" si="299"/>
        <v>0.029000000000000001</v>
      </c>
      <c r="O94" s="572">
        <f t="shared" si="299"/>
        <v>0.010999999999999999</v>
      </c>
      <c r="P94" s="572">
        <f t="shared" si="299"/>
        <v>0</v>
      </c>
      <c r="Q94" s="1016">
        <f t="shared" si="299"/>
        <v>0.017000000000000001</v>
      </c>
      <c r="R94" s="572">
        <f t="shared" si="299"/>
        <v>0.042999999999999997</v>
      </c>
      <c r="S94" s="572">
        <f t="shared" si="299"/>
        <v>0.048000000000000001</v>
      </c>
      <c r="T94" s="572">
        <f t="shared" si="299"/>
        <v>0.021000000000000001</v>
      </c>
      <c r="U94" s="572">
        <f t="shared" si="299"/>
        <v>0.021000000000000001</v>
      </c>
      <c r="V94" s="1016">
        <f t="shared" si="299"/>
        <v>0.034000000000000002</v>
      </c>
      <c r="W94" s="572">
        <f t="shared" si="299"/>
        <v>0.037999999999999999</v>
      </c>
      <c r="X94" s="572">
        <f t="shared" si="299"/>
        <v>0.052999999999999999</v>
      </c>
      <c r="Y94" s="572">
        <f t="shared" si="299"/>
        <v>0.13700000000000001</v>
      </c>
      <c r="Z94" s="572">
        <f t="shared" si="299"/>
        <v>0.014</v>
      </c>
      <c r="AA94" s="1016">
        <f t="shared" si="299"/>
        <v>0.06</v>
      </c>
      <c r="AB94" s="572">
        <f t="shared" si="299"/>
        <v>0.039</v>
      </c>
      <c r="AC94" s="572">
        <f t="shared" si="299"/>
        <v>0.045999999999999999</v>
      </c>
      <c r="AD94" s="572">
        <f t="shared" si="299"/>
        <v>0.036999999999999998</v>
      </c>
      <c r="AE94" s="572">
        <f t="shared" si="299"/>
        <v>0.051999999999999998</v>
      </c>
      <c r="AF94" s="1016">
        <f t="shared" si="299"/>
        <v>0.043999999999999997</v>
      </c>
      <c r="AG94" s="572">
        <f t="shared" si="299"/>
        <v>0.025</v>
      </c>
      <c r="AH94" s="572">
        <f t="shared" si="299"/>
        <v>0.056000000000000001</v>
      </c>
      <c r="AI94" s="572">
        <f t="shared" si="299"/>
        <v>0.03</v>
      </c>
      <c r="AJ94" s="572">
        <f t="shared" si="299"/>
        <v>0.012999999999999999</v>
      </c>
      <c r="AK94" s="1016">
        <f t="shared" si="299"/>
        <v>0.03</v>
      </c>
      <c r="AL94" s="572">
        <f t="shared" si="299"/>
        <v>0.05</v>
      </c>
      <c r="AM94" s="572">
        <f t="shared" si="299"/>
        <v>0.10100000000000001</v>
      </c>
      <c r="AN94" s="572">
        <f t="shared" si="299"/>
        <v>0.025</v>
      </c>
      <c r="AO94" s="572">
        <f t="shared" si="299"/>
        <v>-0.0060000000000000001</v>
      </c>
      <c r="AP94" s="1016">
        <f t="shared" si="299"/>
        <v>0.042000000000000003</v>
      </c>
      <c r="AQ94" s="572">
        <f t="shared" si="299"/>
        <v>0.13300000000000001</v>
      </c>
      <c r="AR94" s="572">
        <f t="shared" si="299"/>
        <v>0.039</v>
      </c>
      <c r="AS94" s="572">
        <f t="shared" si="294"/>
        <v>0.045999999999999999</v>
      </c>
      <c r="AT94" s="572">
        <f t="shared" si="294"/>
        <v>-0.01</v>
      </c>
      <c r="AU94" s="1016">
        <f t="shared" si="294"/>
        <v>0.050999999999999997</v>
      </c>
      <c r="AV94" s="572">
        <f t="shared" si="295"/>
        <v>0.019</v>
      </c>
      <c r="AW94" s="572">
        <f t="shared" si="295"/>
        <v>0.056000000000000001</v>
      </c>
      <c r="AX94" s="572">
        <f t="shared" si="295"/>
        <v>0.049000000000000002</v>
      </c>
      <c r="AY94" s="572">
        <f t="shared" si="296"/>
        <v>0.028000000000000001</v>
      </c>
      <c r="AZ94" s="1016">
        <f t="shared" si="296"/>
        <v>0.037999999999999999</v>
      </c>
      <c r="BA94" s="572">
        <f t="shared" si="296"/>
        <v>0.043999999999999997</v>
      </c>
      <c r="BB94" s="572">
        <f t="shared" si="297"/>
        <v>0.085</v>
      </c>
      <c r="BC94" s="572">
        <f t="shared" si="297"/>
        <v>0.041000000000000002</v>
      </c>
      <c r="BD94" s="572">
        <f t="shared" si="297"/>
        <v>0.0080000000000000002</v>
      </c>
      <c r="BE94" s="1016">
        <f t="shared" si="297"/>
        <v>0.042999999999999997</v>
      </c>
      <c r="BF94" s="572">
        <f t="shared" si="298"/>
        <v>0.041000000000000002</v>
      </c>
      <c r="BG94" s="572">
        <f t="shared" si="298"/>
        <v>0.075</v>
      </c>
      <c r="BH94" s="753">
        <f t="shared" si="298"/>
        <v>0.062</v>
      </c>
      <c r="BI94" s="913">
        <v>0.03</v>
      </c>
      <c r="BJ94" s="1016">
        <f>BJ44/BJ$36</f>
        <v>0.052205985247403927</v>
      </c>
      <c r="BK94" s="913">
        <v>0.03</v>
      </c>
      <c r="BL94" s="913">
        <v>0.03</v>
      </c>
      <c r="BM94" s="913">
        <v>0.03</v>
      </c>
      <c r="BN94" s="913">
        <v>0.03</v>
      </c>
      <c r="BO94" s="1016">
        <f>BO44/BO$36</f>
        <v>0.03</v>
      </c>
      <c r="BP94" s="1017">
        <v>0.029999999999999995</v>
      </c>
      <c r="BQ94" s="1017">
        <v>0.029999999999999995</v>
      </c>
      <c r="BR94" s="1017">
        <v>0.029999999999999995</v>
      </c>
      <c r="BS94" s="41"/>
    </row>
    <row r="95" spans="1:71" s="381" customFormat="1" ht="15">
      <c r="A95" s="573" t="s">
        <v>69</v>
      </c>
      <c r="B95" s="434"/>
      <c r="C95" s="982">
        <f t="shared" si="300" ref="C95:AR95">C45/C$36</f>
        <v>0.55041940189642602</v>
      </c>
      <c r="D95" s="982">
        <f t="shared" si="300"/>
        <v>0.60412409437116854</v>
      </c>
      <c r="E95" s="982">
        <f t="shared" si="300"/>
        <v>0.74574026661958148</v>
      </c>
      <c r="F95" s="982">
        <f t="shared" si="300"/>
        <v>0.67205542725173206</v>
      </c>
      <c r="G95" s="982">
        <f t="shared" si="300"/>
        <v>0.62143714371437142</v>
      </c>
      <c r="H95" s="435">
        <f t="shared" si="300"/>
        <v>0.61186059584035979</v>
      </c>
      <c r="I95" s="435">
        <f t="shared" si="300"/>
        <v>0.67612228036353617</v>
      </c>
      <c r="J95" s="435">
        <f t="shared" si="300"/>
        <v>0.64480874316939896</v>
      </c>
      <c r="K95" s="435">
        <f t="shared" si="300"/>
        <v>0.58776958776958776</v>
      </c>
      <c r="L95" s="982">
        <f t="shared" si="300"/>
        <v>0.63016813671444327</v>
      </c>
      <c r="M95" s="435">
        <f t="shared" si="300"/>
        <v>0.62569060773480667</v>
      </c>
      <c r="N95" s="435">
        <f t="shared" si="300"/>
        <v>0.62011637572734835</v>
      </c>
      <c r="O95" s="435">
        <f t="shared" si="300"/>
        <v>0.61018341089515471</v>
      </c>
      <c r="P95" s="435">
        <f t="shared" si="300"/>
        <v>0.58450123660346254</v>
      </c>
      <c r="Q95" s="982">
        <f t="shared" si="300"/>
        <v>0.61008195027890644</v>
      </c>
      <c r="R95" s="435">
        <f t="shared" si="300"/>
        <v>0.64821323960164035</v>
      </c>
      <c r="S95" s="435">
        <f t="shared" si="300"/>
        <v>0.65251526606571675</v>
      </c>
      <c r="T95" s="435">
        <f t="shared" si="300"/>
        <v>0.65027166142407777</v>
      </c>
      <c r="U95" s="435">
        <f t="shared" si="300"/>
        <v>0.57689015691868761</v>
      </c>
      <c r="V95" s="982">
        <f t="shared" si="300"/>
        <v>0.63175748827138212</v>
      </c>
      <c r="W95" s="435">
        <f t="shared" si="300"/>
        <v>0.66054243219597553</v>
      </c>
      <c r="X95" s="435">
        <f t="shared" si="300"/>
        <v>0.65810502283105021</v>
      </c>
      <c r="Y95" s="435">
        <f t="shared" si="300"/>
        <v>0.79614093959731547</v>
      </c>
      <c r="Z95" s="435">
        <f t="shared" si="300"/>
        <v>0.57822381083310426</v>
      </c>
      <c r="AA95" s="982">
        <f t="shared" si="300"/>
        <v>0.67305245299024463</v>
      </c>
      <c r="AB95" s="435">
        <f t="shared" si="300"/>
        <v>0.67040358744394624</v>
      </c>
      <c r="AC95" s="435">
        <f t="shared" si="300"/>
        <v>0.6822301565503982</v>
      </c>
      <c r="AD95" s="435">
        <f t="shared" si="300"/>
        <v>0.7087897408495859</v>
      </c>
      <c r="AE95" s="435">
        <f t="shared" si="300"/>
        <v>0.70079575596816979</v>
      </c>
      <c r="AF95" s="982">
        <f t="shared" si="300"/>
        <v>0.6908708055970656</v>
      </c>
      <c r="AG95" s="435">
        <f t="shared" si="300"/>
        <v>0.689470871191876</v>
      </c>
      <c r="AH95" s="435">
        <f t="shared" si="300"/>
        <v>0.71001850383293685</v>
      </c>
      <c r="AI95" s="435">
        <f t="shared" si="300"/>
        <v>0.78001030396702731</v>
      </c>
      <c r="AJ95" s="435">
        <f t="shared" si="300"/>
        <v>0.68558951965065507</v>
      </c>
      <c r="AK95" s="982">
        <f t="shared" si="300"/>
        <v>0.71653594771241835</v>
      </c>
      <c r="AL95" s="435">
        <f t="shared" si="300"/>
        <v>0.72230848861283647</v>
      </c>
      <c r="AM95" s="435">
        <f t="shared" si="300"/>
        <v>0.77108433734939763</v>
      </c>
      <c r="AN95" s="435">
        <f t="shared" si="300"/>
        <v>0.73001822442072373</v>
      </c>
      <c r="AO95" s="435">
        <f t="shared" si="300"/>
        <v>0.60430721328489878</v>
      </c>
      <c r="AP95" s="982">
        <f t="shared" si="300"/>
        <v>0.70642081862168171</v>
      </c>
      <c r="AQ95" s="435">
        <f t="shared" si="300"/>
        <v>0.73387733614108974</v>
      </c>
      <c r="AR95" s="435">
        <f t="shared" si="300"/>
        <v>0.65438144329896908</v>
      </c>
      <c r="AS95" s="435">
        <f t="shared" si="301" ref="AS95:AU95">AS45/AS$36</f>
        <v>0.68085642317380357</v>
      </c>
      <c r="AT95" s="435">
        <f t="shared" si="301"/>
        <v>0.57968176254589965</v>
      </c>
      <c r="AU95" s="982">
        <f t="shared" si="301"/>
        <v>0.66086182788864878</v>
      </c>
      <c r="AV95" s="435">
        <f t="shared" si="302" ref="AV95:AZ95">AV45/AV$36</f>
        <v>0.6175386882829772</v>
      </c>
      <c r="AW95" s="435">
        <f t="shared" si="302"/>
        <v>0.63963963963963966</v>
      </c>
      <c r="AX95" s="435">
        <f t="shared" si="302"/>
        <v>0.67976108430967153</v>
      </c>
      <c r="AY95" s="435">
        <f t="shared" si="302"/>
        <v>0.61441724679991017</v>
      </c>
      <c r="AZ95" s="982">
        <f t="shared" si="302"/>
        <v>0.6380228136882129</v>
      </c>
      <c r="BA95" s="435">
        <f t="shared" si="303" ref="BA95:BI95">BA45/BA$36</f>
        <v>0.64931874022783109</v>
      </c>
      <c r="BB95" s="435">
        <f t="shared" si="303"/>
        <v>0.70973298880275626</v>
      </c>
      <c r="BC95" s="435">
        <f t="shared" si="303"/>
        <v>0.71004842615012109</v>
      </c>
      <c r="BD95" s="435">
        <f t="shared" si="303"/>
        <v>0.58693507006118018</v>
      </c>
      <c r="BE95" s="982">
        <f t="shared" si="303"/>
        <v>0.66318428750522362</v>
      </c>
      <c r="BF95" s="435">
        <f>BF45/BF$36</f>
        <v>0.64554263565891468</v>
      </c>
      <c r="BG95" s="435">
        <f>BG45/BG$36</f>
        <v>0.67163312693498456</v>
      </c>
      <c r="BH95" s="751">
        <f>BH45/BH$36</f>
        <v>0.67555717939349658</v>
      </c>
      <c r="BI95" s="435">
        <f t="shared" si="303"/>
        <v>0.65999999999999992</v>
      </c>
      <c r="BJ95" s="982">
        <f>BJ45/BJ$36</f>
        <v>0.6633790303243281</v>
      </c>
      <c r="BK95" s="435">
        <f>BK45/BK$36</f>
        <v>0.66</v>
      </c>
      <c r="BL95" s="435">
        <f>BL45/BL$36</f>
        <v>0.66</v>
      </c>
      <c r="BM95" s="435">
        <f>BM45/BM$36</f>
        <v>0.65</v>
      </c>
      <c r="BN95" s="435">
        <f>BN45/BN$36</f>
        <v>0.66</v>
      </c>
      <c r="BO95" s="982">
        <f>BO45/BO$36</f>
        <v>0.6574508952793543</v>
      </c>
      <c r="BP95" s="982">
        <f>BP45/BP$36</f>
        <v>0.66</v>
      </c>
      <c r="BQ95" s="982">
        <f>BQ45/BQ$36</f>
        <v>0.65</v>
      </c>
      <c r="BR95" s="982">
        <f>BR45/BR$36</f>
        <v>0.66</v>
      </c>
      <c r="BS95" s="379"/>
    </row>
    <row r="96" spans="1:71" s="381" customFormat="1" ht="15">
      <c r="A96" s="456" t="s">
        <v>548</v>
      </c>
      <c r="B96" s="434"/>
      <c r="C96" s="982">
        <f t="shared" si="304" ref="C96:AQ96">C99-C97-C98</f>
        <v>0.57415241524152416</v>
      </c>
      <c r="D96" s="982">
        <f t="shared" si="304"/>
        <v>0.56651130539644245</v>
      </c>
      <c r="E96" s="982">
        <f t="shared" si="304"/>
        <v>0.56449401386263387</v>
      </c>
      <c r="F96" s="982">
        <f t="shared" si="304"/>
        <v>0.51252709359605908</v>
      </c>
      <c r="G96" s="982">
        <f t="shared" si="304"/>
        <v>0.46383291267036847</v>
      </c>
      <c r="H96" s="435">
        <f t="shared" si="304"/>
        <v>0.44610337972166997</v>
      </c>
      <c r="I96" s="435">
        <f t="shared" si="304"/>
        <v>0.43792366412213735</v>
      </c>
      <c r="J96" s="435">
        <f t="shared" si="304"/>
        <v>0.43642504743833022</v>
      </c>
      <c r="K96" s="435">
        <f t="shared" si="304"/>
        <v>0.45894252873563213</v>
      </c>
      <c r="L96" s="982">
        <f t="shared" si="304"/>
        <v>0.44569556840077074</v>
      </c>
      <c r="M96" s="435">
        <f t="shared" si="304"/>
        <v>0.44895238095238094</v>
      </c>
      <c r="N96" s="435">
        <f t="shared" si="304"/>
        <v>0.44041221374045803</v>
      </c>
      <c r="O96" s="435">
        <f t="shared" si="304"/>
        <v>0.39964749536178107</v>
      </c>
      <c r="P96" s="435">
        <f t="shared" si="304"/>
        <v>0.43785328185328187</v>
      </c>
      <c r="Q96" s="982">
        <f t="shared" si="304"/>
        <v>0.43039328537170263</v>
      </c>
      <c r="R96" s="435">
        <f t="shared" si="304"/>
        <v>0.44327536231884057</v>
      </c>
      <c r="S96" s="435">
        <f t="shared" si="304"/>
        <v>0.44536851520572451</v>
      </c>
      <c r="T96" s="435">
        <f t="shared" si="304"/>
        <v>0.40360732984293196</v>
      </c>
      <c r="U96" s="435">
        <f t="shared" si="304"/>
        <v>0.43881944444444443</v>
      </c>
      <c r="V96" s="982">
        <f t="shared" si="304"/>
        <v>0.43208849557522122</v>
      </c>
      <c r="W96" s="435">
        <f t="shared" si="304"/>
        <v>0.43400900900900902</v>
      </c>
      <c r="X96" s="435">
        <f t="shared" si="304"/>
        <v>0.43560869565217392</v>
      </c>
      <c r="Y96" s="435">
        <f t="shared" si="304"/>
        <v>0.39932318104906939</v>
      </c>
      <c r="Z96" s="435">
        <f t="shared" si="304"/>
        <v>0.52109897610921496</v>
      </c>
      <c r="AA96" s="982">
        <f t="shared" si="304"/>
        <v>0.44768357173818812</v>
      </c>
      <c r="AB96" s="435">
        <f t="shared" si="304"/>
        <v>0.43113402061855671</v>
      </c>
      <c r="AC96" s="435">
        <f t="shared" si="304"/>
        <v>0.43118136439267885</v>
      </c>
      <c r="AD96" s="435">
        <f t="shared" si="304"/>
        <v>0.41325283630470011</v>
      </c>
      <c r="AE96" s="435">
        <f t="shared" si="304"/>
        <v>0.41687096774193544</v>
      </c>
      <c r="AF96" s="982">
        <f t="shared" si="304"/>
        <v>0.42300826446280992</v>
      </c>
      <c r="AG96" s="435">
        <f t="shared" si="304"/>
        <v>0.43894389438943893</v>
      </c>
      <c r="AH96" s="435">
        <f t="shared" si="304"/>
        <v>0.43758227848101267</v>
      </c>
      <c r="AI96" s="435">
        <f t="shared" si="304"/>
        <v>0.46701225114854517</v>
      </c>
      <c r="AJ96" s="435">
        <f t="shared" si="304"/>
        <v>0.45281602373887242</v>
      </c>
      <c r="AK96" s="982">
        <f t="shared" si="304"/>
        <v>0.44951072124756336</v>
      </c>
      <c r="AL96" s="435">
        <f t="shared" si="304"/>
        <v>0.48825487256371813</v>
      </c>
      <c r="AM96" s="435">
        <f t="shared" si="304"/>
        <v>0.52452958152958151</v>
      </c>
      <c r="AN96" s="435">
        <f t="shared" si="304"/>
        <v>0.53918533886583675</v>
      </c>
      <c r="AO96" s="435">
        <f t="shared" si="304"/>
        <v>0.50316216216216214</v>
      </c>
      <c r="AP96" s="982">
        <f t="shared" si="304"/>
        <v>0.51459723698193416</v>
      </c>
      <c r="AQ96" s="435">
        <f t="shared" si="304"/>
        <v>0.49336473755047106</v>
      </c>
      <c r="AR96" s="435">
        <f t="shared" si="305" ref="AR96:AW96">AR99-AR97-AR98</f>
        <v>0.48470103092783506</v>
      </c>
      <c r="AS96" s="435">
        <f t="shared" si="305"/>
        <v>0.48826054590570722</v>
      </c>
      <c r="AT96" s="435">
        <f t="shared" si="305"/>
        <v>0.49647478474784745</v>
      </c>
      <c r="AU96" s="982">
        <f t="shared" si="305"/>
        <v>0.48940726577437854</v>
      </c>
      <c r="AV96" s="435">
        <f t="shared" si="305"/>
        <v>0.47370731707317071</v>
      </c>
      <c r="AW96" s="435">
        <f t="shared" si="305"/>
        <v>0.47095417156286723</v>
      </c>
      <c r="AX96" s="435">
        <f t="shared" si="306" ref="AX96:BC96">AX99-AX97-AX98</f>
        <v>0.43984378563283921</v>
      </c>
      <c r="AY96" s="435">
        <f t="shared" si="306"/>
        <v>0.4606436781609195</v>
      </c>
      <c r="AZ96" s="982">
        <f t="shared" si="306"/>
        <v>0.46115974253949676</v>
      </c>
      <c r="BA96" s="435">
        <f t="shared" si="306"/>
        <v>0.49528571428571433</v>
      </c>
      <c r="BB96" s="435">
        <f t="shared" si="306"/>
        <v>0.50875631174533475</v>
      </c>
      <c r="BC96" s="435">
        <f t="shared" si="306"/>
        <v>0.44640106951871661</v>
      </c>
      <c r="BD96" s="435">
        <f>BD99-BD97-BD98</f>
        <v>0.44841755888650964</v>
      </c>
      <c r="BE96" s="982">
        <f>BE99-BE97-BE98</f>
        <v>0.47429274965800272</v>
      </c>
      <c r="BF96" s="435">
        <f>BF99-BF97-BF98</f>
        <v>0.4676987447698745</v>
      </c>
      <c r="BG96" s="435">
        <f>BG99-BG97-BG98</f>
        <v>0.46813510747185266</v>
      </c>
      <c r="BH96" s="751">
        <f>BH99-BH97-BH98</f>
        <v>0.46806640237859265</v>
      </c>
      <c r="BI96" s="907">
        <v>0.50</v>
      </c>
      <c r="BJ96" s="982">
        <f>BJ46/BJ$37</f>
        <v>0.47584749587104774</v>
      </c>
      <c r="BK96" s="907">
        <v>0.50</v>
      </c>
      <c r="BL96" s="907">
        <v>0.50</v>
      </c>
      <c r="BM96" s="907">
        <v>0.50</v>
      </c>
      <c r="BN96" s="907">
        <v>0.50</v>
      </c>
      <c r="BO96" s="982">
        <f>BO46/BO$37</f>
        <v>0.50</v>
      </c>
      <c r="BP96" s="984">
        <v>0.50</v>
      </c>
      <c r="BQ96" s="984">
        <v>0.49</v>
      </c>
      <c r="BR96" s="984">
        <v>0.50</v>
      </c>
      <c r="BS96" s="379"/>
    </row>
    <row r="97" spans="1:71" s="381" customFormat="1" ht="15">
      <c r="A97" s="574" t="s">
        <v>412</v>
      </c>
      <c r="B97" s="434"/>
      <c r="C97" s="982">
        <f t="shared" si="307" ref="C97:AQ97">C254</f>
        <v>-0.050999999999999997</v>
      </c>
      <c r="D97" s="982">
        <f t="shared" si="307"/>
        <v>-0.078</v>
      </c>
      <c r="E97" s="982">
        <f t="shared" si="307"/>
        <v>-0.113</v>
      </c>
      <c r="F97" s="982">
        <f t="shared" si="307"/>
        <v>-0.098000000000000004</v>
      </c>
      <c r="G97" s="982">
        <f t="shared" si="307"/>
        <v>-0.11700000000000001</v>
      </c>
      <c r="H97" s="435">
        <f t="shared" si="307"/>
        <v>-0.13200000000000001</v>
      </c>
      <c r="I97" s="435">
        <f t="shared" si="307"/>
        <v>-0.23699999999999999</v>
      </c>
      <c r="J97" s="435">
        <f t="shared" si="307"/>
        <v>-0.14999999999999999</v>
      </c>
      <c r="K97" s="435">
        <f t="shared" si="307"/>
        <v>-0.34399999999999997</v>
      </c>
      <c r="L97" s="982">
        <f t="shared" si="307"/>
        <v>-0.217</v>
      </c>
      <c r="M97" s="435">
        <f t="shared" si="307"/>
        <v>-0.069000000000000006</v>
      </c>
      <c r="N97" s="435">
        <f t="shared" si="307"/>
        <v>-0.076999999999999999</v>
      </c>
      <c r="O97" s="435">
        <f t="shared" si="307"/>
        <v>-0.191</v>
      </c>
      <c r="P97" s="435">
        <f t="shared" si="307"/>
        <v>-0.156</v>
      </c>
      <c r="Q97" s="982">
        <f t="shared" si="307"/>
        <v>-0.124</v>
      </c>
      <c r="R97" s="435">
        <f t="shared" si="307"/>
        <v>-0.12</v>
      </c>
      <c r="S97" s="435">
        <f t="shared" si="307"/>
        <v>-0.28399999999999997</v>
      </c>
      <c r="T97" s="435">
        <f t="shared" si="307"/>
        <v>-0.081000000000000003</v>
      </c>
      <c r="U97" s="435">
        <f t="shared" si="307"/>
        <v>-0.13700000000000001</v>
      </c>
      <c r="V97" s="982">
        <f t="shared" si="307"/>
        <v>-0.155</v>
      </c>
      <c r="W97" s="435">
        <f t="shared" si="307"/>
        <v>-0.025999999999999999</v>
      </c>
      <c r="X97" s="435">
        <f t="shared" si="307"/>
        <v>-0.13500000000000001</v>
      </c>
      <c r="Y97" s="435">
        <f t="shared" si="307"/>
        <v>-0.0089999999999999993</v>
      </c>
      <c r="Z97" s="435">
        <f t="shared" si="307"/>
        <v>-0.071999999999999995</v>
      </c>
      <c r="AA97" s="982">
        <f t="shared" si="307"/>
        <v>-0.060999999999999999</v>
      </c>
      <c r="AB97" s="435">
        <f t="shared" si="307"/>
        <v>-0.06</v>
      </c>
      <c r="AC97" s="435">
        <f t="shared" si="307"/>
        <v>-0.14799999999999999</v>
      </c>
      <c r="AD97" s="435">
        <f t="shared" si="307"/>
        <v>-0.086999999999999994</v>
      </c>
      <c r="AE97" s="435">
        <f t="shared" si="307"/>
        <v>-0.14399999999999999</v>
      </c>
      <c r="AF97" s="982">
        <f t="shared" si="307"/>
        <v>-0.11</v>
      </c>
      <c r="AG97" s="435">
        <f t="shared" si="307"/>
        <v>-0.005</v>
      </c>
      <c r="AH97" s="435">
        <f t="shared" si="307"/>
        <v>-0.062</v>
      </c>
      <c r="AI97" s="435">
        <f t="shared" si="307"/>
        <v>-0.005</v>
      </c>
      <c r="AJ97" s="435">
        <f t="shared" si="307"/>
        <v>-0.029000000000000001</v>
      </c>
      <c r="AK97" s="982">
        <f t="shared" si="307"/>
        <v>-0.025</v>
      </c>
      <c r="AL97" s="435">
        <f t="shared" si="307"/>
        <v>0</v>
      </c>
      <c r="AM97" s="435">
        <f t="shared" si="307"/>
        <v>0.047</v>
      </c>
      <c r="AN97" s="435">
        <f t="shared" si="307"/>
        <v>0</v>
      </c>
      <c r="AO97" s="435">
        <f t="shared" si="307"/>
        <v>-0.042000000000000003</v>
      </c>
      <c r="AP97" s="982">
        <f t="shared" si="307"/>
        <v>0</v>
      </c>
      <c r="AQ97" s="435">
        <f t="shared" si="307"/>
        <v>-0.021000000000000001</v>
      </c>
      <c r="AR97" s="435">
        <f t="shared" si="308" ref="AR97:AU98">AR254</f>
        <v>-0.057000000000000002</v>
      </c>
      <c r="AS97" s="435">
        <f t="shared" si="308"/>
        <v>-0.025999999999999999</v>
      </c>
      <c r="AT97" s="435">
        <f t="shared" si="308"/>
        <v>-0.03</v>
      </c>
      <c r="AU97" s="982">
        <f t="shared" si="308"/>
        <v>-0.033000000000000002</v>
      </c>
      <c r="AV97" s="435">
        <f t="shared" si="309" ref="AV97:AX98">AV254</f>
        <v>-0.042999999999999997</v>
      </c>
      <c r="AW97" s="435">
        <f t="shared" si="309"/>
        <v>-0.085999999999999993</v>
      </c>
      <c r="AX97" s="435">
        <f t="shared" si="309"/>
        <v>-0.071999999999999995</v>
      </c>
      <c r="AY97" s="435">
        <f t="shared" si="310" ref="AY97:BA98">AY254</f>
        <v>-0.058000000000000003</v>
      </c>
      <c r="AZ97" s="982">
        <f t="shared" si="310"/>
        <v>-0.065</v>
      </c>
      <c r="BA97" s="435">
        <f t="shared" si="310"/>
        <v>-0.067000000000000004</v>
      </c>
      <c r="BB97" s="435">
        <f t="shared" si="311" ref="BB97:BE98">BB254</f>
        <v>-0.13</v>
      </c>
      <c r="BC97" s="435">
        <f t="shared" si="311"/>
        <v>-0.076999999999999999</v>
      </c>
      <c r="BD97" s="435">
        <f t="shared" si="311"/>
        <v>-0.039</v>
      </c>
      <c r="BE97" s="982">
        <f t="shared" si="311"/>
        <v>-0.078</v>
      </c>
      <c r="BF97" s="435">
        <f t="shared" si="312" ref="BF97:BH98">BF254</f>
        <v>-0.025</v>
      </c>
      <c r="BG97" s="435">
        <f t="shared" si="312"/>
        <v>-0.025</v>
      </c>
      <c r="BH97" s="751">
        <f t="shared" si="312"/>
        <v>-0.035000000000000003</v>
      </c>
      <c r="BI97" s="907">
        <v>0</v>
      </c>
      <c r="BJ97" s="982">
        <f>BJ47/BJ$37</f>
        <v>-0.021437452329285567</v>
      </c>
      <c r="BK97" s="907">
        <v>0</v>
      </c>
      <c r="BL97" s="907">
        <v>0</v>
      </c>
      <c r="BM97" s="907">
        <v>0</v>
      </c>
      <c r="BN97" s="907">
        <v>0</v>
      </c>
      <c r="BO97" s="982">
        <f>BO47/BO$37</f>
        <v>0</v>
      </c>
      <c r="BP97" s="984">
        <v>0</v>
      </c>
      <c r="BQ97" s="984">
        <v>0</v>
      </c>
      <c r="BR97" s="984">
        <v>0</v>
      </c>
      <c r="BS97" s="379"/>
    </row>
    <row r="98" spans="1:71" s="381" customFormat="1" ht="15">
      <c r="A98" s="575" t="s">
        <v>413</v>
      </c>
      <c r="B98" s="436"/>
      <c r="C98" s="985">
        <f t="shared" si="313" ref="C98:AQ98">C255</f>
        <v>0.001</v>
      </c>
      <c r="D98" s="985">
        <f t="shared" si="313"/>
        <v>0.024</v>
      </c>
      <c r="E98" s="985">
        <f t="shared" si="313"/>
        <v>0.017000000000000001</v>
      </c>
      <c r="F98" s="985">
        <f t="shared" si="313"/>
        <v>0.017000000000000001</v>
      </c>
      <c r="G98" s="985">
        <f t="shared" si="313"/>
        <v>0.0040000000000000001</v>
      </c>
      <c r="H98" s="437">
        <f t="shared" si="313"/>
        <v>0.002</v>
      </c>
      <c r="I98" s="437">
        <f t="shared" si="313"/>
        <v>0.0089999999999999993</v>
      </c>
      <c r="J98" s="437">
        <f t="shared" si="313"/>
        <v>0.002</v>
      </c>
      <c r="K98" s="437">
        <f t="shared" si="313"/>
        <v>0</v>
      </c>
      <c r="L98" s="985">
        <f t="shared" si="313"/>
        <v>0.0030000000000000001</v>
      </c>
      <c r="M98" s="437">
        <f t="shared" si="313"/>
        <v>0.001</v>
      </c>
      <c r="N98" s="437">
        <f t="shared" si="313"/>
        <v>0.0030000000000000001</v>
      </c>
      <c r="O98" s="437">
        <f t="shared" si="313"/>
        <v>0.001</v>
      </c>
      <c r="P98" s="437">
        <f t="shared" si="313"/>
        <v>0</v>
      </c>
      <c r="Q98" s="985">
        <f t="shared" si="313"/>
        <v>0.002</v>
      </c>
      <c r="R98" s="437">
        <f t="shared" si="313"/>
        <v>0.001</v>
      </c>
      <c r="S98" s="437">
        <f t="shared" si="313"/>
        <v>0.005</v>
      </c>
      <c r="T98" s="437">
        <f t="shared" si="313"/>
        <v>0.002</v>
      </c>
      <c r="U98" s="437">
        <f t="shared" si="313"/>
        <v>0.002</v>
      </c>
      <c r="V98" s="985">
        <f t="shared" si="313"/>
        <v>0.0030000000000000001</v>
      </c>
      <c r="W98" s="437">
        <f t="shared" si="313"/>
        <v>0.001</v>
      </c>
      <c r="X98" s="437">
        <f t="shared" si="313"/>
        <v>0.002</v>
      </c>
      <c r="Y98" s="437">
        <f t="shared" si="313"/>
        <v>0.0089999999999999993</v>
      </c>
      <c r="Z98" s="437">
        <f t="shared" si="313"/>
        <v>-0.002</v>
      </c>
      <c r="AA98" s="985">
        <f t="shared" si="313"/>
        <v>0.0030000000000000001</v>
      </c>
      <c r="AB98" s="437">
        <f t="shared" si="313"/>
        <v>0</v>
      </c>
      <c r="AC98" s="437">
        <f t="shared" si="313"/>
        <v>0.0080000000000000002</v>
      </c>
      <c r="AD98" s="437">
        <f t="shared" si="313"/>
        <v>0.0060000000000000001</v>
      </c>
      <c r="AE98" s="437">
        <f t="shared" si="313"/>
        <v>0.010999999999999999</v>
      </c>
      <c r="AF98" s="985">
        <f t="shared" si="313"/>
        <v>0.0060000000000000001</v>
      </c>
      <c r="AG98" s="437">
        <f t="shared" si="313"/>
        <v>0.005</v>
      </c>
      <c r="AH98" s="437">
        <f t="shared" si="313"/>
        <v>0.001</v>
      </c>
      <c r="AI98" s="437">
        <f t="shared" si="313"/>
        <v>0.002</v>
      </c>
      <c r="AJ98" s="437">
        <f t="shared" si="313"/>
        <v>0.002</v>
      </c>
      <c r="AK98" s="985">
        <f t="shared" si="313"/>
        <v>0.002</v>
      </c>
      <c r="AL98" s="437">
        <f t="shared" si="313"/>
        <v>0.002</v>
      </c>
      <c r="AM98" s="437">
        <f t="shared" si="313"/>
        <v>0.01</v>
      </c>
      <c r="AN98" s="437">
        <f t="shared" si="313"/>
        <v>0.0030000000000000001</v>
      </c>
      <c r="AO98" s="437">
        <f t="shared" si="313"/>
        <v>0.001</v>
      </c>
      <c r="AP98" s="985">
        <f t="shared" si="313"/>
        <v>0.0040000000000000001</v>
      </c>
      <c r="AQ98" s="437">
        <f t="shared" si="313"/>
        <v>0.031</v>
      </c>
      <c r="AR98" s="437">
        <f t="shared" si="308"/>
        <v>0.0040000000000000001</v>
      </c>
      <c r="AS98" s="437">
        <f t="shared" si="308"/>
        <v>0.0030000000000000001</v>
      </c>
      <c r="AT98" s="437">
        <f t="shared" si="308"/>
        <v>0.012</v>
      </c>
      <c r="AU98" s="985">
        <f t="shared" si="308"/>
        <v>0.012999999999999999</v>
      </c>
      <c r="AV98" s="437">
        <f t="shared" si="309"/>
        <v>0.001</v>
      </c>
      <c r="AW98" s="437">
        <f t="shared" si="309"/>
        <v>0.0040000000000000001</v>
      </c>
      <c r="AX98" s="437">
        <f t="shared" si="309"/>
        <v>0.012999999999999999</v>
      </c>
      <c r="AY98" s="437">
        <f t="shared" si="310"/>
        <v>0.01</v>
      </c>
      <c r="AZ98" s="985">
        <f t="shared" si="310"/>
        <v>0.0070000000000000001</v>
      </c>
      <c r="BA98" s="437">
        <f t="shared" si="310"/>
        <v>0.0060000000000000001</v>
      </c>
      <c r="BB98" s="437">
        <f t="shared" si="311"/>
        <v>0.023</v>
      </c>
      <c r="BC98" s="437">
        <f t="shared" si="311"/>
        <v>0.0060000000000000001</v>
      </c>
      <c r="BD98" s="437">
        <f t="shared" si="311"/>
        <v>0.0060000000000000001</v>
      </c>
      <c r="BE98" s="985">
        <f t="shared" si="311"/>
        <v>0.01</v>
      </c>
      <c r="BF98" s="437">
        <f t="shared" si="312"/>
        <v>0.005</v>
      </c>
      <c r="BG98" s="437">
        <f t="shared" si="312"/>
        <v>0.041000000000000002</v>
      </c>
      <c r="BH98" s="756">
        <f t="shared" si="312"/>
        <v>0.0040000000000000001</v>
      </c>
      <c r="BI98" s="909">
        <v>0.0030000000000000001</v>
      </c>
      <c r="BJ98" s="985">
        <f>BJ48/BJ$37</f>
        <v>0.013264295234707065</v>
      </c>
      <c r="BK98" s="909">
        <v>0.0030000000000000001</v>
      </c>
      <c r="BL98" s="909">
        <v>0.0030000000000000001</v>
      </c>
      <c r="BM98" s="909">
        <v>0.0030000000000000001</v>
      </c>
      <c r="BN98" s="909">
        <v>0.0030000000000000001</v>
      </c>
      <c r="BO98" s="985">
        <f>BO48/BO$37</f>
        <v>0.0030000000000000001</v>
      </c>
      <c r="BP98" s="987">
        <v>0.0030000000000000005</v>
      </c>
      <c r="BQ98" s="987">
        <v>0.0030000000000000005</v>
      </c>
      <c r="BR98" s="987">
        <v>0.0030000000000000005</v>
      </c>
      <c r="BS98" s="379"/>
    </row>
    <row r="99" spans="1:71" s="381" customFormat="1" ht="15">
      <c r="A99" s="573" t="s">
        <v>70</v>
      </c>
      <c r="B99" s="434"/>
      <c r="C99" s="982">
        <f t="shared" si="314" ref="C99:AR99">C49/C$37</f>
        <v>0.52415241524152412</v>
      </c>
      <c r="D99" s="982">
        <f t="shared" si="314"/>
        <v>0.51251130539644252</v>
      </c>
      <c r="E99" s="982">
        <f t="shared" si="314"/>
        <v>0.4684940138626339</v>
      </c>
      <c r="F99" s="982">
        <f t="shared" si="314"/>
        <v>0.43152709359605912</v>
      </c>
      <c r="G99" s="982">
        <f t="shared" si="314"/>
        <v>0.35083291267036848</v>
      </c>
      <c r="H99" s="435">
        <f t="shared" si="314"/>
        <v>0.31610337972166996</v>
      </c>
      <c r="I99" s="435">
        <f t="shared" si="314"/>
        <v>0.20992366412213739</v>
      </c>
      <c r="J99" s="435">
        <f t="shared" si="314"/>
        <v>0.2884250474383302</v>
      </c>
      <c r="K99" s="435">
        <f t="shared" si="314"/>
        <v>0.11494252873563218</v>
      </c>
      <c r="L99" s="982">
        <f t="shared" si="314"/>
        <v>0.23169556840077071</v>
      </c>
      <c r="M99" s="435">
        <f t="shared" si="314"/>
        <v>0.38095238095238093</v>
      </c>
      <c r="N99" s="435">
        <f t="shared" si="314"/>
        <v>0.36641221374045801</v>
      </c>
      <c r="O99" s="435">
        <f t="shared" si="314"/>
        <v>0.20964749536178107</v>
      </c>
      <c r="P99" s="435">
        <f t="shared" si="314"/>
        <v>0.28185328185328185</v>
      </c>
      <c r="Q99" s="982">
        <f t="shared" si="314"/>
        <v>0.30839328537170263</v>
      </c>
      <c r="R99" s="435">
        <f t="shared" si="314"/>
        <v>0.32427536231884058</v>
      </c>
      <c r="S99" s="435">
        <f t="shared" si="314"/>
        <v>0.16636851520572452</v>
      </c>
      <c r="T99" s="435">
        <f t="shared" si="314"/>
        <v>0.32460732984293195</v>
      </c>
      <c r="U99" s="435">
        <f t="shared" si="314"/>
        <v>0.30381944444444442</v>
      </c>
      <c r="V99" s="982">
        <f t="shared" si="314"/>
        <v>0.28008849557522125</v>
      </c>
      <c r="W99" s="435">
        <f t="shared" si="314"/>
        <v>0.40900900900900899</v>
      </c>
      <c r="X99" s="435">
        <f t="shared" si="314"/>
        <v>0.30260869565217391</v>
      </c>
      <c r="Y99" s="435">
        <f t="shared" si="314"/>
        <v>0.39932318104906939</v>
      </c>
      <c r="Z99" s="435">
        <f t="shared" si="314"/>
        <v>0.44709897610921501</v>
      </c>
      <c r="AA99" s="982">
        <f t="shared" si="314"/>
        <v>0.38968357173818813</v>
      </c>
      <c r="AB99" s="435">
        <f t="shared" si="314"/>
        <v>0.37113402061855671</v>
      </c>
      <c r="AC99" s="435">
        <f t="shared" si="314"/>
        <v>0.29118136439267889</v>
      </c>
      <c r="AD99" s="435">
        <f t="shared" si="314"/>
        <v>0.33225283630470015</v>
      </c>
      <c r="AE99" s="435">
        <f t="shared" si="314"/>
        <v>0.28387096774193549</v>
      </c>
      <c r="AF99" s="982">
        <f t="shared" si="314"/>
        <v>0.31900826446280994</v>
      </c>
      <c r="AG99" s="435">
        <f t="shared" si="314"/>
        <v>0.43894389438943893</v>
      </c>
      <c r="AH99" s="435">
        <f t="shared" si="314"/>
        <v>0.37658227848101267</v>
      </c>
      <c r="AI99" s="435">
        <f t="shared" si="314"/>
        <v>0.46401225114854516</v>
      </c>
      <c r="AJ99" s="435">
        <f t="shared" si="314"/>
        <v>0.4258160237388724</v>
      </c>
      <c r="AK99" s="982">
        <f t="shared" si="314"/>
        <v>0.42651072124756334</v>
      </c>
      <c r="AL99" s="435">
        <f t="shared" si="314"/>
        <v>0.49025487256371814</v>
      </c>
      <c r="AM99" s="435">
        <f t="shared" si="314"/>
        <v>0.58152958152958156</v>
      </c>
      <c r="AN99" s="435">
        <f t="shared" si="314"/>
        <v>0.54218533886583675</v>
      </c>
      <c r="AO99" s="435">
        <f t="shared" si="314"/>
        <v>0.46216216216216216</v>
      </c>
      <c r="AP99" s="982">
        <f t="shared" si="314"/>
        <v>0.51859723698193416</v>
      </c>
      <c r="AQ99" s="435">
        <f t="shared" si="314"/>
        <v>0.50336473755047106</v>
      </c>
      <c r="AR99" s="435">
        <f t="shared" si="314"/>
        <v>0.43170103092783507</v>
      </c>
      <c r="AS99" s="435">
        <f t="shared" si="315" ref="AS99:AU99">AS49/AS$37</f>
        <v>0.4652605459057072</v>
      </c>
      <c r="AT99" s="435">
        <f t="shared" si="315"/>
        <v>0.47847478474784749</v>
      </c>
      <c r="AU99" s="982">
        <f t="shared" si="315"/>
        <v>0.46940726577437858</v>
      </c>
      <c r="AV99" s="435">
        <f t="shared" si="316" ref="AV99:AZ99">AV49/AV$37</f>
        <v>0.43170731707317073</v>
      </c>
      <c r="AW99" s="435">
        <f t="shared" si="316"/>
        <v>0.38895417156286721</v>
      </c>
      <c r="AX99" s="435">
        <f t="shared" si="316"/>
        <v>0.38084378563283922</v>
      </c>
      <c r="AY99" s="435">
        <f t="shared" si="316"/>
        <v>0.41264367816091951</v>
      </c>
      <c r="AZ99" s="982">
        <f t="shared" si="316"/>
        <v>0.40315974253949677</v>
      </c>
      <c r="BA99" s="435">
        <f t="shared" si="317" ref="BA99:BI99">BA49/BA$37</f>
        <v>0.43428571428571427</v>
      </c>
      <c r="BB99" s="435">
        <f t="shared" si="317"/>
        <v>0.40175631174533477</v>
      </c>
      <c r="BC99" s="435">
        <f t="shared" si="317"/>
        <v>0.3754010695187166</v>
      </c>
      <c r="BD99" s="435">
        <f t="shared" si="317"/>
        <v>0.41541755888650966</v>
      </c>
      <c r="BE99" s="982">
        <f t="shared" si="317"/>
        <v>0.40629274965800272</v>
      </c>
      <c r="BF99" s="435">
        <f>BF49/BF$37</f>
        <v>0.44769874476987448</v>
      </c>
      <c r="BG99" s="435">
        <f>BG49/BG$37</f>
        <v>0.48413510747185262</v>
      </c>
      <c r="BH99" s="751">
        <f>BH49/BH$37</f>
        <v>0.43706640237859268</v>
      </c>
      <c r="BI99" s="435">
        <f t="shared" si="317"/>
        <v>0.503</v>
      </c>
      <c r="BJ99" s="982">
        <f>BJ49/BJ$37</f>
        <v>0.46767433877646925</v>
      </c>
      <c r="BK99" s="435">
        <f>BK49/BK$37</f>
        <v>0.503</v>
      </c>
      <c r="BL99" s="435">
        <f>BL49/BL$37</f>
        <v>0.503</v>
      </c>
      <c r="BM99" s="435">
        <f>BM49/BM$37</f>
        <v>0.503</v>
      </c>
      <c r="BN99" s="435">
        <f>BN49/BN$37</f>
        <v>0.503</v>
      </c>
      <c r="BO99" s="982">
        <f>BO49/BO$37</f>
        <v>0.503</v>
      </c>
      <c r="BP99" s="982">
        <f>BP49/BP$37</f>
        <v>0.503</v>
      </c>
      <c r="BQ99" s="982">
        <f>BQ49/BQ$37</f>
        <v>0.49299999999999999</v>
      </c>
      <c r="BR99" s="982">
        <f>BR49/BR$37</f>
        <v>0.503</v>
      </c>
      <c r="BS99" s="379"/>
    </row>
    <row r="100" spans="1:71" s="381" customFormat="1" ht="15">
      <c r="A100" s="574" t="s">
        <v>549</v>
      </c>
      <c r="B100" s="434"/>
      <c r="C100" s="982">
        <f t="shared" si="318" ref="C100:AR100">C103-C101-C102</f>
        <v>0.62971195728537299</v>
      </c>
      <c r="D100" s="982">
        <f t="shared" si="318"/>
        <v>0.61218111307660916</v>
      </c>
      <c r="E100" s="982">
        <f t="shared" si="318"/>
        <v>0.654683225721439</v>
      </c>
      <c r="F100" s="982">
        <f t="shared" si="318"/>
        <v>0.61134614879937021</v>
      </c>
      <c r="G100" s="982">
        <f t="shared" si="318"/>
        <v>0.58479737848170399</v>
      </c>
      <c r="H100" s="435">
        <f t="shared" si="318"/>
        <v>0.5936186152099886</v>
      </c>
      <c r="I100" s="435">
        <f t="shared" si="318"/>
        <v>0.61122391426959954</v>
      </c>
      <c r="J100" s="435">
        <f t="shared" si="318"/>
        <v>0.54024721603563475</v>
      </c>
      <c r="K100" s="435">
        <f t="shared" si="318"/>
        <v>0.54518394648829427</v>
      </c>
      <c r="L100" s="982">
        <f t="shared" si="318"/>
        <v>0.57264912280701752</v>
      </c>
      <c r="M100" s="435">
        <f t="shared" si="318"/>
        <v>0.59215419501133781</v>
      </c>
      <c r="N100" s="435">
        <f t="shared" si="318"/>
        <v>0.59424582869855391</v>
      </c>
      <c r="O100" s="435">
        <f t="shared" si="318"/>
        <v>0.56621739130434778</v>
      </c>
      <c r="P100" s="435">
        <f t="shared" si="318"/>
        <v>0.57913719185423362</v>
      </c>
      <c r="Q100" s="982">
        <f t="shared" si="318"/>
        <v>0.58276499724821129</v>
      </c>
      <c r="R100" s="435">
        <f t="shared" si="318"/>
        <v>0.59108684863523575</v>
      </c>
      <c r="S100" s="435">
        <f t="shared" si="318"/>
        <v>0.61273852102464965</v>
      </c>
      <c r="T100" s="435">
        <f t="shared" si="318"/>
        <v>0.64164142122487144</v>
      </c>
      <c r="U100" s="435">
        <f t="shared" si="318"/>
        <v>0.6586411657559198</v>
      </c>
      <c r="V100" s="982">
        <f t="shared" si="318"/>
        <v>0.62613956526903425</v>
      </c>
      <c r="W100" s="435">
        <f t="shared" si="318"/>
        <v>0.63351296043656213</v>
      </c>
      <c r="X100" s="435">
        <f t="shared" si="318"/>
        <v>0.6720457746478874</v>
      </c>
      <c r="Y100" s="435">
        <f t="shared" si="318"/>
        <v>0.64432427843803064</v>
      </c>
      <c r="Z100" s="435">
        <f t="shared" si="318"/>
        <v>0.63972159800249684</v>
      </c>
      <c r="AA100" s="982">
        <f t="shared" si="318"/>
        <v>0.64748862405200436</v>
      </c>
      <c r="AB100" s="435">
        <f t="shared" si="318"/>
        <v>0.63716380393799754</v>
      </c>
      <c r="AC100" s="435">
        <f t="shared" si="318"/>
        <v>0.65278475336322872</v>
      </c>
      <c r="AD100" s="435">
        <f t="shared" si="318"/>
        <v>0.66952973830293416</v>
      </c>
      <c r="AE100" s="435">
        <f t="shared" si="318"/>
        <v>0.61912328767123281</v>
      </c>
      <c r="AF100" s="982">
        <f t="shared" si="318"/>
        <v>0.64494988403751141</v>
      </c>
      <c r="AG100" s="435">
        <f t="shared" si="318"/>
        <v>0.62661747108097332</v>
      </c>
      <c r="AH100" s="435">
        <f t="shared" si="318"/>
        <v>0.68127166731441902</v>
      </c>
      <c r="AI100" s="435">
        <f t="shared" si="318"/>
        <v>0.67822995461422086</v>
      </c>
      <c r="AJ100" s="435">
        <f t="shared" si="318"/>
        <v>0.62665560939247111</v>
      </c>
      <c r="AK100" s="982">
        <f t="shared" si="318"/>
        <v>0.65292697223022966</v>
      </c>
      <c r="AL100" s="435">
        <f t="shared" si="318"/>
        <v>0.5773476649369903</v>
      </c>
      <c r="AM100" s="435">
        <f t="shared" si="318"/>
        <v>0.54880451127819541</v>
      </c>
      <c r="AN100" s="435">
        <f t="shared" si="318"/>
        <v>0.62314204545454543</v>
      </c>
      <c r="AO100" s="435">
        <f t="shared" si="318"/>
        <v>0.5686555786555787</v>
      </c>
      <c r="AP100" s="982">
        <f t="shared" si="318"/>
        <v>0.5803451084469663</v>
      </c>
      <c r="AQ100" s="435">
        <f t="shared" si="318"/>
        <v>0.58672433192686368</v>
      </c>
      <c r="AR100" s="435">
        <f t="shared" si="318"/>
        <v>0.64644594594594595</v>
      </c>
      <c r="AS100" s="435">
        <f t="shared" si="319" ref="AS100:AX100">AS103-AS101-AS102</f>
        <v>0.68752636750736984</v>
      </c>
      <c r="AT100" s="435">
        <f t="shared" si="319"/>
        <v>0.63562891874600125</v>
      </c>
      <c r="AU100" s="982">
        <f t="shared" si="319"/>
        <v>0.64024626554285247</v>
      </c>
      <c r="AV100" s="435">
        <f t="shared" si="319"/>
        <v>0.67016490553954533</v>
      </c>
      <c r="AW100" s="435">
        <f t="shared" si="319"/>
        <v>0.70306403940886697</v>
      </c>
      <c r="AX100" s="435">
        <f t="shared" si="319"/>
        <v>0.74670162481536195</v>
      </c>
      <c r="AY100" s="435">
        <f t="shared" si="320" ref="AY100:BE100">AY103-AY101-AY102</f>
        <v>0.7186737263880939</v>
      </c>
      <c r="AZ100" s="982">
        <f t="shared" si="320"/>
        <v>0.71066037735849064</v>
      </c>
      <c r="BA100" s="435">
        <f t="shared" si="320"/>
        <v>0.6769925756710452</v>
      </c>
      <c r="BB100" s="435">
        <f t="shared" si="320"/>
        <v>0.69477765637803879</v>
      </c>
      <c r="BC100" s="435">
        <f t="shared" si="320"/>
        <v>0.69880689835380194</v>
      </c>
      <c r="BD100" s="435">
        <f t="shared" si="320"/>
        <v>0.62493756294058411</v>
      </c>
      <c r="BE100" s="982">
        <f t="shared" si="320"/>
        <v>0.67330423740141687</v>
      </c>
      <c r="BF100" s="435">
        <f>BF103-BF101-BF102</f>
        <v>0.61444389027431423</v>
      </c>
      <c r="BG100" s="435">
        <f>BG103-BG101-BG102</f>
        <v>0.61474963396778914</v>
      </c>
      <c r="BH100" s="751">
        <f>BH103-BH101-BH102</f>
        <v>0.57885382610755742</v>
      </c>
      <c r="BI100" s="907">
        <v>0.55000000000000004</v>
      </c>
      <c r="BJ100" s="982">
        <f>BJ50/BJ$38</f>
        <v>0.58925861734477436</v>
      </c>
      <c r="BK100" s="907">
        <v>0.55000000000000004</v>
      </c>
      <c r="BL100" s="907">
        <v>0.625</v>
      </c>
      <c r="BM100" s="907">
        <v>0.60</v>
      </c>
      <c r="BN100" s="907">
        <v>0.55000000000000004</v>
      </c>
      <c r="BO100" s="982">
        <f>BO50/BO$38</f>
        <v>0.58360488622344975</v>
      </c>
      <c r="BP100" s="984">
        <v>0.59</v>
      </c>
      <c r="BQ100" s="984">
        <v>0.57999999999999996</v>
      </c>
      <c r="BR100" s="984">
        <v>0.59</v>
      </c>
      <c r="BS100" s="379"/>
    </row>
    <row r="101" spans="1:71" s="381" customFormat="1" ht="15">
      <c r="A101" s="574" t="s">
        <v>433</v>
      </c>
      <c r="B101" s="434"/>
      <c r="C101" s="982">
        <f t="shared" si="321" ref="C101:AQ101">C305</f>
        <v>-0.019</v>
      </c>
      <c r="D101" s="982">
        <f t="shared" si="321"/>
        <v>-0.012</v>
      </c>
      <c r="E101" s="982">
        <f t="shared" si="321"/>
        <v>-0.015</v>
      </c>
      <c r="F101" s="982">
        <f t="shared" si="321"/>
        <v>-0.023</v>
      </c>
      <c r="G101" s="982">
        <f t="shared" si="321"/>
        <v>-0.028000000000000001</v>
      </c>
      <c r="H101" s="435">
        <f t="shared" si="321"/>
        <v>-0.075</v>
      </c>
      <c r="I101" s="435">
        <f t="shared" si="321"/>
        <v>-0.0070000000000000001</v>
      </c>
      <c r="J101" s="435">
        <f t="shared" si="321"/>
        <v>-0.0070000000000000001</v>
      </c>
      <c r="K101" s="435">
        <f t="shared" si="321"/>
        <v>-0.0070000000000000001</v>
      </c>
      <c r="L101" s="982">
        <f t="shared" si="321"/>
        <v>-0.024</v>
      </c>
      <c r="M101" s="435">
        <f t="shared" si="321"/>
        <v>-0.075</v>
      </c>
      <c r="N101" s="435">
        <f t="shared" si="321"/>
        <v>-0.035000000000000003</v>
      </c>
      <c r="O101" s="435">
        <f t="shared" si="321"/>
        <v>-0.025999999999999999</v>
      </c>
      <c r="P101" s="435">
        <f t="shared" si="321"/>
        <v>-0.019</v>
      </c>
      <c r="Q101" s="982">
        <f t="shared" si="321"/>
        <v>-0.037999999999999999</v>
      </c>
      <c r="R101" s="435">
        <f t="shared" si="321"/>
        <v>-0.02</v>
      </c>
      <c r="S101" s="435">
        <f t="shared" si="321"/>
        <v>-0.002</v>
      </c>
      <c r="T101" s="435">
        <f t="shared" si="321"/>
        <v>0.005</v>
      </c>
      <c r="U101" s="435">
        <f t="shared" si="321"/>
        <v>0.016</v>
      </c>
      <c r="V101" s="982">
        <f t="shared" si="321"/>
        <v>0</v>
      </c>
      <c r="W101" s="435">
        <f t="shared" si="321"/>
        <v>-0.0030000000000000001</v>
      </c>
      <c r="X101" s="435">
        <f t="shared" si="321"/>
        <v>0</v>
      </c>
      <c r="Y101" s="435">
        <f t="shared" si="321"/>
        <v>0</v>
      </c>
      <c r="Z101" s="435">
        <f t="shared" si="321"/>
        <v>-0.0030000000000000001</v>
      </c>
      <c r="AA101" s="982">
        <f t="shared" si="321"/>
        <v>-0.001</v>
      </c>
      <c r="AB101" s="435">
        <f t="shared" si="321"/>
        <v>-0.02</v>
      </c>
      <c r="AC101" s="435">
        <f t="shared" si="321"/>
        <v>-0.005</v>
      </c>
      <c r="AD101" s="435">
        <f t="shared" si="321"/>
        <v>-0.0060000000000000001</v>
      </c>
      <c r="AE101" s="435">
        <f t="shared" si="321"/>
        <v>-0.010999999999999999</v>
      </c>
      <c r="AF101" s="982">
        <f t="shared" si="321"/>
        <v>-0.010999999999999999</v>
      </c>
      <c r="AG101" s="435">
        <f t="shared" si="321"/>
        <v>-0.028000000000000001</v>
      </c>
      <c r="AH101" s="435">
        <f t="shared" si="321"/>
        <v>-0.005</v>
      </c>
      <c r="AI101" s="435">
        <f t="shared" si="321"/>
        <v>-0.0070000000000000001</v>
      </c>
      <c r="AJ101" s="435">
        <f t="shared" si="321"/>
        <v>-0.012</v>
      </c>
      <c r="AK101" s="982">
        <f t="shared" si="321"/>
        <v>-0.012999999999999999</v>
      </c>
      <c r="AL101" s="435">
        <f t="shared" si="321"/>
        <v>-0.0080000000000000002</v>
      </c>
      <c r="AM101" s="435">
        <f t="shared" si="321"/>
        <v>-0.012999999999999999</v>
      </c>
      <c r="AN101" s="435">
        <f t="shared" si="321"/>
        <v>-0.128</v>
      </c>
      <c r="AO101" s="435">
        <f t="shared" si="321"/>
        <v>-0.0080000000000000002</v>
      </c>
      <c r="AP101" s="982">
        <f t="shared" si="321"/>
        <v>-0.041000000000000002</v>
      </c>
      <c r="AQ101" s="435">
        <f t="shared" si="321"/>
        <v>-0.058999999999999997</v>
      </c>
      <c r="AR101" s="435">
        <f t="shared" si="322" ref="AR101:AU102">AR305</f>
        <v>-0.021999999999999999</v>
      </c>
      <c r="AS101" s="435">
        <f t="shared" si="322"/>
        <v>-0.01</v>
      </c>
      <c r="AT101" s="435">
        <f t="shared" si="322"/>
        <v>0.001</v>
      </c>
      <c r="AU101" s="982">
        <f t="shared" si="322"/>
        <v>-0.021999999999999999</v>
      </c>
      <c r="AV101" s="435">
        <f t="shared" si="323" ref="AV101:AX102">AV305</f>
        <v>-0.001</v>
      </c>
      <c r="AW101" s="435">
        <f t="shared" si="323"/>
        <v>-0.005</v>
      </c>
      <c r="AX101" s="435">
        <f t="shared" si="323"/>
        <v>-0.005</v>
      </c>
      <c r="AY101" s="435">
        <f t="shared" si="324" ref="AY101:BA102">AY305</f>
        <v>-0.002</v>
      </c>
      <c r="AZ101" s="982">
        <f t="shared" si="324"/>
        <v>-0.0030000000000000001</v>
      </c>
      <c r="BA101" s="435">
        <f t="shared" si="324"/>
        <v>-0.0080000000000000002</v>
      </c>
      <c r="BB101" s="435">
        <f t="shared" si="325" ref="BB101:BE102">BB305</f>
        <v>-0.012</v>
      </c>
      <c r="BC101" s="435">
        <f t="shared" si="325"/>
        <v>-0.01</v>
      </c>
      <c r="BD101" s="435">
        <f t="shared" si="325"/>
        <v>-0.010999999999999999</v>
      </c>
      <c r="BE101" s="982">
        <f t="shared" si="325"/>
        <v>-0.01</v>
      </c>
      <c r="BF101" s="435">
        <f t="shared" si="326" ref="BF101:BH102">BF305</f>
        <v>-0.016</v>
      </c>
      <c r="BG101" s="435">
        <f t="shared" si="326"/>
        <v>-0.042000000000000003</v>
      </c>
      <c r="BH101" s="751">
        <f t="shared" si="326"/>
        <v>-0.042999999999999997</v>
      </c>
      <c r="BI101" s="907">
        <v>0</v>
      </c>
      <c r="BJ101" s="982">
        <f>BJ51/BJ$38</f>
        <v>-0.025406666339841132</v>
      </c>
      <c r="BK101" s="907">
        <v>0</v>
      </c>
      <c r="BL101" s="907">
        <v>0</v>
      </c>
      <c r="BM101" s="907">
        <v>0</v>
      </c>
      <c r="BN101" s="907">
        <v>0</v>
      </c>
      <c r="BO101" s="982">
        <f>BO51/BO$38</f>
        <v>0</v>
      </c>
      <c r="BP101" s="984">
        <v>0</v>
      </c>
      <c r="BQ101" s="984">
        <v>0</v>
      </c>
      <c r="BR101" s="984">
        <v>0</v>
      </c>
      <c r="BS101" s="379"/>
    </row>
    <row r="102" spans="1:71" s="381" customFormat="1" ht="15">
      <c r="A102" s="575" t="s">
        <v>434</v>
      </c>
      <c r="B102" s="436"/>
      <c r="C102" s="985">
        <f t="shared" si="327" ref="C102:AQ102">C306</f>
        <v>0.039</v>
      </c>
      <c r="D102" s="985">
        <f t="shared" si="327"/>
        <v>0.081000000000000003</v>
      </c>
      <c r="E102" s="985">
        <f t="shared" si="327"/>
        <v>0.19600000000000001</v>
      </c>
      <c r="F102" s="985">
        <f t="shared" si="327"/>
        <v>0.13400000000000001</v>
      </c>
      <c r="G102" s="985">
        <f t="shared" si="327"/>
        <v>0.034000000000000002</v>
      </c>
      <c r="H102" s="437">
        <f t="shared" si="327"/>
        <v>0.036999999999999998</v>
      </c>
      <c r="I102" s="437">
        <f t="shared" si="327"/>
        <v>0.107</v>
      </c>
      <c r="J102" s="437">
        <f t="shared" si="327"/>
        <v>0.028000000000000001</v>
      </c>
      <c r="K102" s="437">
        <f t="shared" si="327"/>
        <v>0.017000000000000001</v>
      </c>
      <c r="L102" s="985">
        <f t="shared" si="327"/>
        <v>0.047</v>
      </c>
      <c r="M102" s="437">
        <f t="shared" si="327"/>
        <v>0.035000000000000003</v>
      </c>
      <c r="N102" s="437">
        <f t="shared" si="327"/>
        <v>0.062</v>
      </c>
      <c r="O102" s="437">
        <f t="shared" si="327"/>
        <v>0.025</v>
      </c>
      <c r="P102" s="437">
        <f t="shared" si="327"/>
        <v>0.024</v>
      </c>
      <c r="Q102" s="985">
        <f t="shared" si="327"/>
        <v>0.035999999999999997</v>
      </c>
      <c r="R102" s="437">
        <f t="shared" si="327"/>
        <v>0.084000000000000005</v>
      </c>
      <c r="S102" s="437">
        <f t="shared" si="327"/>
        <v>0.078</v>
      </c>
      <c r="T102" s="437">
        <f t="shared" si="327"/>
        <v>0.0060000000000000001</v>
      </c>
      <c r="U102" s="437">
        <f t="shared" si="327"/>
        <v>0.028000000000000001</v>
      </c>
      <c r="V102" s="985">
        <f t="shared" si="327"/>
        <v>0.049000000000000002</v>
      </c>
      <c r="W102" s="437">
        <f t="shared" si="327"/>
        <v>0.098000000000000004</v>
      </c>
      <c r="X102" s="437">
        <f t="shared" si="327"/>
        <v>0.096000000000000002</v>
      </c>
      <c r="Y102" s="437">
        <f t="shared" si="327"/>
        <v>0.086999999999999994</v>
      </c>
      <c r="Z102" s="437">
        <f t="shared" si="327"/>
        <v>0.186</v>
      </c>
      <c r="AA102" s="985">
        <f t="shared" si="327"/>
        <v>0.11700000000000001</v>
      </c>
      <c r="AB102" s="437">
        <f t="shared" si="327"/>
        <v>0.09</v>
      </c>
      <c r="AC102" s="437">
        <f t="shared" si="327"/>
        <v>0.128</v>
      </c>
      <c r="AD102" s="437">
        <f t="shared" si="327"/>
        <v>0.049000000000000002</v>
      </c>
      <c r="AE102" s="437">
        <f t="shared" si="327"/>
        <v>0.159</v>
      </c>
      <c r="AF102" s="985">
        <f t="shared" si="327"/>
        <v>0.107</v>
      </c>
      <c r="AG102" s="437">
        <f t="shared" si="327"/>
        <v>0.037999999999999999</v>
      </c>
      <c r="AH102" s="437">
        <f t="shared" si="327"/>
        <v>0.060999999999999999</v>
      </c>
      <c r="AI102" s="437">
        <f t="shared" si="327"/>
        <v>0.047</v>
      </c>
      <c r="AJ102" s="437">
        <f t="shared" si="327"/>
        <v>0.012999999999999999</v>
      </c>
      <c r="AK102" s="985">
        <f t="shared" si="327"/>
        <v>0.04</v>
      </c>
      <c r="AL102" s="437">
        <f t="shared" si="327"/>
        <v>0.05</v>
      </c>
      <c r="AM102" s="437">
        <f t="shared" si="327"/>
        <v>0.186</v>
      </c>
      <c r="AN102" s="437">
        <f t="shared" si="327"/>
        <v>0.105</v>
      </c>
      <c r="AO102" s="437">
        <f t="shared" si="327"/>
        <v>0.017999999999999999</v>
      </c>
      <c r="AP102" s="985">
        <f t="shared" si="327"/>
        <v>0.087999999999999995</v>
      </c>
      <c r="AQ102" s="437">
        <f t="shared" si="327"/>
        <v>0.108</v>
      </c>
      <c r="AR102" s="437">
        <f t="shared" si="322"/>
        <v>0.109</v>
      </c>
      <c r="AS102" s="437">
        <f t="shared" si="322"/>
        <v>0.104</v>
      </c>
      <c r="AT102" s="437">
        <f t="shared" si="322"/>
        <v>0.023</v>
      </c>
      <c r="AU102" s="985">
        <f t="shared" si="322"/>
        <v>0.085</v>
      </c>
      <c r="AV102" s="437">
        <f t="shared" si="323"/>
        <v>0.025999999999999999</v>
      </c>
      <c r="AW102" s="437">
        <f t="shared" si="323"/>
        <v>0.156</v>
      </c>
      <c r="AX102" s="437">
        <f t="shared" si="323"/>
        <v>0.084000000000000005</v>
      </c>
      <c r="AY102" s="437">
        <f t="shared" si="324"/>
        <v>0.092999999999999999</v>
      </c>
      <c r="AZ102" s="985">
        <f t="shared" si="324"/>
        <v>0.09</v>
      </c>
      <c r="BA102" s="437">
        <f t="shared" si="324"/>
        <v>0.094</v>
      </c>
      <c r="BB102" s="437">
        <f t="shared" si="325"/>
        <v>0.29099999999999998</v>
      </c>
      <c r="BC102" s="437">
        <f t="shared" si="325"/>
        <v>0.16800000000000001</v>
      </c>
      <c r="BD102" s="437">
        <f t="shared" si="325"/>
        <v>0.02</v>
      </c>
      <c r="BE102" s="985">
        <f t="shared" si="325"/>
        <v>0.14099999999999999</v>
      </c>
      <c r="BF102" s="437">
        <f t="shared" si="326"/>
        <v>0.124</v>
      </c>
      <c r="BG102" s="437">
        <f t="shared" si="326"/>
        <v>0.26400000000000001</v>
      </c>
      <c r="BH102" s="756">
        <f t="shared" si="326"/>
        <v>0.14099999999999999</v>
      </c>
      <c r="BI102" s="909">
        <v>0.079000000000000001</v>
      </c>
      <c r="BJ102" s="985">
        <f>BJ52/BJ$38</f>
        <v>0.15199353076080224</v>
      </c>
      <c r="BK102" s="909">
        <v>0.08</v>
      </c>
      <c r="BL102" s="909">
        <v>0.08</v>
      </c>
      <c r="BM102" s="909">
        <v>0.08</v>
      </c>
      <c r="BN102" s="909">
        <v>0.079000000000000001</v>
      </c>
      <c r="BO102" s="985">
        <f>BO52/BO$38</f>
        <v>0.079755634037006598</v>
      </c>
      <c r="BP102" s="987">
        <v>0.08</v>
      </c>
      <c r="BQ102" s="987">
        <v>0.08</v>
      </c>
      <c r="BR102" s="987">
        <v>0.08</v>
      </c>
      <c r="BS102" s="379"/>
    </row>
    <row r="103" spans="1:71" s="381" customFormat="1" ht="15">
      <c r="A103" s="587" t="s">
        <v>71</v>
      </c>
      <c r="B103" s="436"/>
      <c r="C103" s="985">
        <f t="shared" si="328" ref="C103:AR103">C53/C$38</f>
        <v>0.64971195728537301</v>
      </c>
      <c r="D103" s="985">
        <f t="shared" si="328"/>
        <v>0.68118111307660911</v>
      </c>
      <c r="E103" s="985">
        <f t="shared" si="328"/>
        <v>0.83568322572143894</v>
      </c>
      <c r="F103" s="985">
        <f t="shared" si="328"/>
        <v>0.7223461487993702</v>
      </c>
      <c r="G103" s="985">
        <f t="shared" si="328"/>
        <v>0.59079737848170399</v>
      </c>
      <c r="H103" s="437">
        <f t="shared" si="328"/>
        <v>0.55561861520998868</v>
      </c>
      <c r="I103" s="437">
        <f t="shared" si="328"/>
        <v>0.71122391426959952</v>
      </c>
      <c r="J103" s="437">
        <f t="shared" si="328"/>
        <v>0.56124721603563477</v>
      </c>
      <c r="K103" s="437">
        <f t="shared" si="328"/>
        <v>0.55518394648829428</v>
      </c>
      <c r="L103" s="985">
        <f t="shared" si="328"/>
        <v>0.59564912280701754</v>
      </c>
      <c r="M103" s="437">
        <f t="shared" si="328"/>
        <v>0.55215419501133789</v>
      </c>
      <c r="N103" s="437">
        <f t="shared" si="328"/>
        <v>0.62124582869855394</v>
      </c>
      <c r="O103" s="437">
        <f t="shared" si="328"/>
        <v>0.56521739130434778</v>
      </c>
      <c r="P103" s="437">
        <f t="shared" si="328"/>
        <v>0.58413719185423363</v>
      </c>
      <c r="Q103" s="985">
        <f t="shared" si="328"/>
        <v>0.58076499724821129</v>
      </c>
      <c r="R103" s="437">
        <f t="shared" si="328"/>
        <v>0.6550868486352357</v>
      </c>
      <c r="S103" s="437">
        <f t="shared" si="328"/>
        <v>0.68873852102464961</v>
      </c>
      <c r="T103" s="437">
        <f t="shared" si="328"/>
        <v>0.65264142122487145</v>
      </c>
      <c r="U103" s="437">
        <f t="shared" si="328"/>
        <v>0.70264116575591984</v>
      </c>
      <c r="V103" s="985">
        <f t="shared" si="328"/>
        <v>0.67513956526903429</v>
      </c>
      <c r="W103" s="437">
        <f t="shared" si="328"/>
        <v>0.72851296043656211</v>
      </c>
      <c r="X103" s="437">
        <f t="shared" si="328"/>
        <v>0.76804577464788737</v>
      </c>
      <c r="Y103" s="437">
        <f t="shared" si="328"/>
        <v>0.73132427843803061</v>
      </c>
      <c r="Z103" s="437">
        <f t="shared" si="328"/>
        <v>0.82272159800249689</v>
      </c>
      <c r="AA103" s="985">
        <f t="shared" si="328"/>
        <v>0.76348862405200435</v>
      </c>
      <c r="AB103" s="437">
        <f t="shared" si="328"/>
        <v>0.70716380393799749</v>
      </c>
      <c r="AC103" s="437">
        <f t="shared" si="328"/>
        <v>0.77578475336322872</v>
      </c>
      <c r="AD103" s="437">
        <f t="shared" si="328"/>
        <v>0.7125297383029342</v>
      </c>
      <c r="AE103" s="437">
        <f t="shared" si="328"/>
        <v>0.76712328767123283</v>
      </c>
      <c r="AF103" s="985">
        <f t="shared" si="328"/>
        <v>0.74094988403751139</v>
      </c>
      <c r="AG103" s="437">
        <f t="shared" si="328"/>
        <v>0.63661747108097333</v>
      </c>
      <c r="AH103" s="437">
        <f t="shared" si="328"/>
        <v>0.73727166731441895</v>
      </c>
      <c r="AI103" s="437">
        <f t="shared" si="328"/>
        <v>0.7182299546142209</v>
      </c>
      <c r="AJ103" s="437">
        <f t="shared" si="328"/>
        <v>0.62765560939247111</v>
      </c>
      <c r="AK103" s="985">
        <f t="shared" si="328"/>
        <v>0.67992697223022969</v>
      </c>
      <c r="AL103" s="437">
        <f t="shared" si="328"/>
        <v>0.61934766493699034</v>
      </c>
      <c r="AM103" s="437">
        <f t="shared" si="328"/>
        <v>0.72180451127819545</v>
      </c>
      <c r="AN103" s="437">
        <f t="shared" si="328"/>
        <v>0.60014204545454541</v>
      </c>
      <c r="AO103" s="437">
        <f t="shared" si="328"/>
        <v>0.57865557865557871</v>
      </c>
      <c r="AP103" s="985">
        <f t="shared" si="328"/>
        <v>0.62734510844696623</v>
      </c>
      <c r="AQ103" s="437">
        <f t="shared" si="328"/>
        <v>0.63572433192686362</v>
      </c>
      <c r="AR103" s="437">
        <f t="shared" si="328"/>
        <v>0.73344594594594592</v>
      </c>
      <c r="AS103" s="437">
        <f t="shared" si="329" ref="AS103:AU103">AS53/AS$38</f>
        <v>0.78152636750736981</v>
      </c>
      <c r="AT103" s="437">
        <f t="shared" si="329"/>
        <v>0.65962891874600127</v>
      </c>
      <c r="AU103" s="985">
        <f t="shared" si="329"/>
        <v>0.70324626554285241</v>
      </c>
      <c r="AV103" s="437">
        <f t="shared" si="330" ref="AV103:AZ103">AV53/AV$38</f>
        <v>0.69516490553954535</v>
      </c>
      <c r="AW103" s="437">
        <f t="shared" si="330"/>
        <v>0.85406403940886699</v>
      </c>
      <c r="AX103" s="437">
        <f t="shared" si="330"/>
        <v>0.82570162481536191</v>
      </c>
      <c r="AY103" s="437">
        <f t="shared" si="330"/>
        <v>0.80967372638809387</v>
      </c>
      <c r="AZ103" s="985">
        <f t="shared" si="330"/>
        <v>0.7976603773584906</v>
      </c>
      <c r="BA103" s="437">
        <f t="shared" si="331" ref="BA103:BI103">BA53/BA$38</f>
        <v>0.76299257567104517</v>
      </c>
      <c r="BB103" s="437">
        <f t="shared" si="331"/>
        <v>0.97377765637803881</v>
      </c>
      <c r="BC103" s="437">
        <f t="shared" si="331"/>
        <v>0.85680689835380197</v>
      </c>
      <c r="BD103" s="437">
        <f t="shared" si="331"/>
        <v>0.63393756294058412</v>
      </c>
      <c r="BE103" s="985">
        <f t="shared" si="331"/>
        <v>0.80430423740141688</v>
      </c>
      <c r="BF103" s="437">
        <f>BF53/BF$38</f>
        <v>0.72244389027431422</v>
      </c>
      <c r="BG103" s="437">
        <f>BG53/BG$38</f>
        <v>0.83674963396778912</v>
      </c>
      <c r="BH103" s="756">
        <f>BH53/BH$38</f>
        <v>0.6768538261075574</v>
      </c>
      <c r="BI103" s="437">
        <f t="shared" si="331"/>
        <v>0.62900000000000011</v>
      </c>
      <c r="BJ103" s="985">
        <f>BJ53/BJ$38</f>
        <v>0.71584548176573537</v>
      </c>
      <c r="BK103" s="437">
        <f>BK53/BK$38</f>
        <v>0.63</v>
      </c>
      <c r="BL103" s="437">
        <f>BL53/BL$38</f>
        <v>0.705</v>
      </c>
      <c r="BM103" s="437">
        <f>BM53/BM$38</f>
        <v>0.68</v>
      </c>
      <c r="BN103" s="437">
        <f>BN53/BN$38</f>
        <v>0.629</v>
      </c>
      <c r="BO103" s="985">
        <f>BO53/BO$38</f>
        <v>0.66336052026045644</v>
      </c>
      <c r="BP103" s="985">
        <f>BP53/BP$38</f>
        <v>0.67</v>
      </c>
      <c r="BQ103" s="985">
        <f>BQ53/BQ$38</f>
        <v>0.65999999999999992</v>
      </c>
      <c r="BR103" s="985">
        <f>BR53/BR$38</f>
        <v>0.67</v>
      </c>
      <c r="BS103" s="379"/>
    </row>
    <row r="104" spans="1:71" s="381" customFormat="1" ht="15">
      <c r="A104" s="573" t="s">
        <v>558</v>
      </c>
      <c r="B104" s="434"/>
      <c r="C104" s="982">
        <f t="shared" si="332" ref="C104:AR104">C54/C$39</f>
        <v>0.61989196003361657</v>
      </c>
      <c r="D104" s="982">
        <f t="shared" si="332"/>
        <v>0.62266587346024649</v>
      </c>
      <c r="E104" s="982">
        <f t="shared" si="332"/>
        <v>0.65354726120416484</v>
      </c>
      <c r="F104" s="982">
        <f t="shared" si="332"/>
        <v>0.61499154627186103</v>
      </c>
      <c r="G104" s="982">
        <f t="shared" si="332"/>
        <v>0.598735212263109</v>
      </c>
      <c r="H104" s="435">
        <f t="shared" si="332"/>
        <v>0.59385540099605005</v>
      </c>
      <c r="I104" s="435">
        <f t="shared" si="332"/>
        <v>0.60319315114709837</v>
      </c>
      <c r="J104" s="435">
        <f t="shared" si="332"/>
        <v>0.5932308206585325</v>
      </c>
      <c r="K104" s="435">
        <f t="shared" si="332"/>
        <v>0.58886285331995314</v>
      </c>
      <c r="L104" s="982">
        <f t="shared" si="332"/>
        <v>0.59489954877071649</v>
      </c>
      <c r="M104" s="435">
        <f t="shared" si="332"/>
        <v>0.59682608695652173</v>
      </c>
      <c r="N104" s="435">
        <f t="shared" si="332"/>
        <v>0.59578839993255772</v>
      </c>
      <c r="O104" s="435">
        <f t="shared" si="332"/>
        <v>0.57977602785145887</v>
      </c>
      <c r="P104" s="435">
        <f t="shared" si="332"/>
        <v>0.59922795948862706</v>
      </c>
      <c r="Q104" s="982">
        <f t="shared" si="332"/>
        <v>0.59276355030577199</v>
      </c>
      <c r="R104" s="435">
        <f t="shared" si="332"/>
        <v>0.59806620966393587</v>
      </c>
      <c r="S104" s="435">
        <f t="shared" si="332"/>
        <v>0.61306230426899633</v>
      </c>
      <c r="T104" s="435">
        <f t="shared" si="332"/>
        <v>0.61327073602834592</v>
      </c>
      <c r="U104" s="435">
        <f t="shared" si="332"/>
        <v>0.61627306037916207</v>
      </c>
      <c r="V104" s="982">
        <f t="shared" si="332"/>
        <v>0.60974256134344174</v>
      </c>
      <c r="W104" s="435">
        <f t="shared" si="332"/>
        <v>0.61950347727640309</v>
      </c>
      <c r="X104" s="435">
        <f t="shared" si="332"/>
        <v>0.63356872933396313</v>
      </c>
      <c r="Y104" s="435">
        <f t="shared" si="332"/>
        <v>0.63189391384332372</v>
      </c>
      <c r="Z104" s="435">
        <f t="shared" si="332"/>
        <v>0.62456625415031697</v>
      </c>
      <c r="AA104" s="982">
        <f t="shared" si="332"/>
        <v>0.62764832768757561</v>
      </c>
      <c r="AB104" s="435">
        <f t="shared" si="332"/>
        <v>0.62604711641425737</v>
      </c>
      <c r="AC104" s="435">
        <f t="shared" si="332"/>
        <v>0.63639701269604176</v>
      </c>
      <c r="AD104" s="435">
        <f t="shared" si="332"/>
        <v>0.63962438244696307</v>
      </c>
      <c r="AE104" s="435">
        <f t="shared" si="332"/>
        <v>0.62368898488120939</v>
      </c>
      <c r="AF104" s="982">
        <f t="shared" si="332"/>
        <v>0.63158653313130564</v>
      </c>
      <c r="AG104" s="435">
        <f t="shared" si="332"/>
        <v>0.62741473377097012</v>
      </c>
      <c r="AH104" s="435">
        <f t="shared" si="332"/>
        <v>0.65476431024613624</v>
      </c>
      <c r="AI104" s="435">
        <f t="shared" si="332"/>
        <v>0.65403217718345164</v>
      </c>
      <c r="AJ104" s="435">
        <f t="shared" si="332"/>
        <v>0.63623337931034485</v>
      </c>
      <c r="AK104" s="982">
        <f t="shared" si="332"/>
        <v>0.64346017260894184</v>
      </c>
      <c r="AL104" s="435">
        <f t="shared" si="332"/>
        <v>0.62041969843685141</v>
      </c>
      <c r="AM104" s="435">
        <f t="shared" si="332"/>
        <v>0.61151588785046729</v>
      </c>
      <c r="AN104" s="435">
        <f t="shared" si="332"/>
        <v>0.62734363143631444</v>
      </c>
      <c r="AO104" s="435">
        <f t="shared" si="332"/>
        <v>0.60012459893048142</v>
      </c>
      <c r="AP104" s="982">
        <f t="shared" si="332"/>
        <v>0.61506772483129057</v>
      </c>
      <c r="AQ104" s="435">
        <f t="shared" si="332"/>
        <v>0.6026146764148389</v>
      </c>
      <c r="AR104" s="435">
        <f t="shared" si="332"/>
        <v>0.62381932773109239</v>
      </c>
      <c r="AS104" s="435">
        <f t="shared" si="333" ref="AS104:AU106">AS54/AS$39</f>
        <v>0.62661208328011242</v>
      </c>
      <c r="AT104" s="435">
        <f t="shared" si="333"/>
        <v>0.60730184446660018</v>
      </c>
      <c r="AU104" s="982">
        <f t="shared" si="333"/>
        <v>0.6150209366391185</v>
      </c>
      <c r="AV104" s="435">
        <f t="shared" si="334" ref="AV104:AW106">AV54/AV$39</f>
        <v>0.62790167207387082</v>
      </c>
      <c r="AW104" s="435">
        <f t="shared" si="334"/>
        <v>0.64309125886738006</v>
      </c>
      <c r="AX104" s="435">
        <f t="shared" si="335" ref="AX104:AZ106">AX54/AX$39</f>
        <v>0.64980719674985488</v>
      </c>
      <c r="AY104" s="435">
        <f t="shared" si="335"/>
        <v>0.64055869343314054</v>
      </c>
      <c r="AZ104" s="982">
        <f t="shared" si="335"/>
        <v>0.6405228800758227</v>
      </c>
      <c r="BA104" s="435">
        <f t="shared" si="336" ref="BA104:BB106">BA54/BA$39</f>
        <v>0.62481624124689406</v>
      </c>
      <c r="BB104" s="435">
        <f t="shared" si="336"/>
        <v>0.63000759548611107</v>
      </c>
      <c r="BC104" s="435">
        <f t="shared" si="337" ref="BC104:BI106">BC54/BC$39</f>
        <v>0.63231683473965827</v>
      </c>
      <c r="BD104" s="435">
        <f t="shared" si="337"/>
        <v>0.59062217988569132</v>
      </c>
      <c r="BE104" s="982">
        <f t="shared" si="337"/>
        <v>0.6195059982521649</v>
      </c>
      <c r="BF104" s="435">
        <f t="shared" si="338" ref="BF104:BG106">BF54/BF$39</f>
        <v>0.59554414378826781</v>
      </c>
      <c r="BG104" s="435">
        <f t="shared" si="338"/>
        <v>0.5946519574343454</v>
      </c>
      <c r="BH104" s="751">
        <f>BH54/BH$39</f>
        <v>0.57746403213751873</v>
      </c>
      <c r="BI104" s="435">
        <f t="shared" si="337"/>
        <v>0.58545220314008517</v>
      </c>
      <c r="BJ104" s="982">
        <f t="shared" si="339" ref="BJ104:BJ106">BJ54/BJ$39</f>
        <v>0.58814032635163183</v>
      </c>
      <c r="BK104" s="435">
        <f t="shared" si="340" ref="BK104:BR106">BK54/BK$39</f>
        <v>0.58985170621736527</v>
      </c>
      <c r="BL104" s="435">
        <f t="shared" si="340"/>
        <v>0.61650518915569053</v>
      </c>
      <c r="BM104" s="435">
        <f t="shared" si="340"/>
        <v>0.60097974019529232</v>
      </c>
      <c r="BN104" s="435">
        <f t="shared" si="340"/>
        <v>0.5850400754901911</v>
      </c>
      <c r="BO104" s="982">
        <f t="shared" si="340"/>
        <v>0.59852951132858789</v>
      </c>
      <c r="BP104" s="982">
        <f t="shared" si="340"/>
        <v>0.60148913704015095</v>
      </c>
      <c r="BQ104" s="982">
        <f t="shared" si="340"/>
        <v>0.59105625591230371</v>
      </c>
      <c r="BR104" s="982">
        <f t="shared" si="340"/>
        <v>0.60062670836420518</v>
      </c>
      <c r="BS104" s="379"/>
    </row>
    <row r="105" spans="1:71" s="381" customFormat="1" ht="15">
      <c r="A105" s="573" t="s">
        <v>559</v>
      </c>
      <c r="B105" s="434"/>
      <c r="C105" s="982">
        <f t="shared" si="341" ref="C105:AR105">C55/C$39</f>
        <v>-0.061874591465122794</v>
      </c>
      <c r="D105" s="982">
        <f t="shared" si="341"/>
        <v>-0.0583826987681971</v>
      </c>
      <c r="E105" s="982">
        <f t="shared" si="341"/>
        <v>-0.032670484382073338</v>
      </c>
      <c r="F105" s="982">
        <f t="shared" si="341"/>
        <v>-0.042104620476808158</v>
      </c>
      <c r="G105" s="982">
        <f t="shared" si="341"/>
        <v>-0.036966426646640453</v>
      </c>
      <c r="H105" s="435">
        <f t="shared" si="341"/>
        <v>-0.050594538897475519</v>
      </c>
      <c r="I105" s="435">
        <f t="shared" si="341"/>
        <v>-0.031005735492577596</v>
      </c>
      <c r="J105" s="435">
        <f t="shared" si="341"/>
        <v>-0.018984121678087915</v>
      </c>
      <c r="K105" s="435">
        <f t="shared" si="341"/>
        <v>-0.058477170095333666</v>
      </c>
      <c r="L105" s="982">
        <f t="shared" si="341"/>
        <v>-0.039672584658204356</v>
      </c>
      <c r="M105" s="435">
        <f t="shared" si="341"/>
        <v>-0.041286684782608697</v>
      </c>
      <c r="N105" s="435">
        <f t="shared" si="341"/>
        <v>-0.034451188669701573</v>
      </c>
      <c r="O105" s="435">
        <f t="shared" si="341"/>
        <v>-0.033476624668435012</v>
      </c>
      <c r="P105" s="435">
        <f t="shared" si="341"/>
        <v>-0.048303835298024247</v>
      </c>
      <c r="Q105" s="982">
        <f t="shared" si="341"/>
        <v>-0.039428332076736197</v>
      </c>
      <c r="R105" s="435">
        <f t="shared" si="341"/>
        <v>-0.030370840996488881</v>
      </c>
      <c r="S105" s="435">
        <f t="shared" si="341"/>
        <v>-0.047255315641997676</v>
      </c>
      <c r="T105" s="435">
        <f t="shared" si="341"/>
        <v>-0.0063158318569818015</v>
      </c>
      <c r="U105" s="435">
        <f t="shared" si="341"/>
        <v>-0.042152461366895003</v>
      </c>
      <c r="V105" s="982">
        <f t="shared" si="341"/>
        <v>-0.031784666177549527</v>
      </c>
      <c r="W105" s="435">
        <f t="shared" si="341"/>
        <v>-0.013383309073265402</v>
      </c>
      <c r="X105" s="435">
        <f t="shared" si="341"/>
        <v>-0.032084553613604155</v>
      </c>
      <c r="Y105" s="435">
        <f t="shared" si="341"/>
        <v>-0.0024600643875517399</v>
      </c>
      <c r="Z105" s="435">
        <f t="shared" si="341"/>
        <v>-0.044231814065801386</v>
      </c>
      <c r="AA105" s="982">
        <f t="shared" si="341"/>
        <v>-0.022913327882256748</v>
      </c>
      <c r="AB105" s="435">
        <f t="shared" si="341"/>
        <v>-0.023015450512467492</v>
      </c>
      <c r="AC105" s="435">
        <f t="shared" si="341"/>
        <v>-0.027625989544436142</v>
      </c>
      <c r="AD105" s="435">
        <f t="shared" si="341"/>
        <v>-0.0018404533565823885</v>
      </c>
      <c r="AE105" s="435">
        <f t="shared" si="341"/>
        <v>-0.023416126709863205</v>
      </c>
      <c r="AF105" s="982">
        <f t="shared" si="341"/>
        <v>-0.019309915370117149</v>
      </c>
      <c r="AG105" s="435">
        <f t="shared" si="341"/>
        <v>-0.0074068563092633119</v>
      </c>
      <c r="AH105" s="435">
        <f t="shared" si="341"/>
        <v>-0.017734115626788779</v>
      </c>
      <c r="AI105" s="435">
        <f t="shared" si="341"/>
        <v>0.040767377072015609</v>
      </c>
      <c r="AJ105" s="435">
        <f t="shared" si="341"/>
        <v>-0.0082107586206896545</v>
      </c>
      <c r="AK105" s="982">
        <f t="shared" si="341"/>
        <v>0.0021464346349745339</v>
      </c>
      <c r="AL105" s="435">
        <f t="shared" si="341"/>
        <v>-0.0035202655969013693</v>
      </c>
      <c r="AM105" s="435">
        <f t="shared" si="341"/>
        <v>-4.0258806613946968E-05</v>
      </c>
      <c r="AN105" s="435">
        <f t="shared" si="341"/>
        <v>-0.018654471544715442</v>
      </c>
      <c r="AO105" s="435">
        <f t="shared" si="341"/>
        <v>-0.023729411764705884</v>
      </c>
      <c r="AP105" s="982">
        <f t="shared" si="341"/>
        <v>-0.012265631455722351</v>
      </c>
      <c r="AQ105" s="435">
        <f t="shared" si="341"/>
        <v>-0.042832927159490934</v>
      </c>
      <c r="AR105" s="435">
        <f t="shared" si="341"/>
        <v>-0.024037815126050421</v>
      </c>
      <c r="AS105" s="435">
        <f t="shared" si="333"/>
        <v>0.0071150849406054406</v>
      </c>
      <c r="AT105" s="435">
        <f t="shared" si="333"/>
        <v>-0.011813808574277168</v>
      </c>
      <c r="AU105" s="982">
        <f t="shared" si="333"/>
        <v>-0.017509447415329765</v>
      </c>
      <c r="AV105" s="435">
        <f t="shared" si="334"/>
        <v>-0.01901310207137509</v>
      </c>
      <c r="AW105" s="435">
        <f t="shared" si="334"/>
        <v>-0.035095587351208365</v>
      </c>
      <c r="AX105" s="435">
        <f t="shared" si="335"/>
        <v>-0.0022201973302379569</v>
      </c>
      <c r="AY105" s="435">
        <f t="shared" si="335"/>
        <v>-0.02065691278212544</v>
      </c>
      <c r="AZ105" s="982">
        <f t="shared" si="335"/>
        <v>-0.018896721262920947</v>
      </c>
      <c r="BA105" s="435">
        <f t="shared" si="336"/>
        <v>-0.011808109329116785</v>
      </c>
      <c r="BB105" s="435">
        <f t="shared" si="336"/>
        <v>-0.0065314670138888909</v>
      </c>
      <c r="BC105" s="435">
        <f t="shared" si="337"/>
        <v>0.015682547849351719</v>
      </c>
      <c r="BD105" s="435">
        <f t="shared" si="337"/>
        <v>-0.013622280156422339</v>
      </c>
      <c r="BE105" s="982">
        <f t="shared" si="337"/>
        <v>-0.0039074706707979134</v>
      </c>
      <c r="BF105" s="435">
        <f t="shared" si="338"/>
        <v>-0.0086964250444400547</v>
      </c>
      <c r="BG105" s="435">
        <f t="shared" si="338"/>
        <v>-0.022215073708874353</v>
      </c>
      <c r="BH105" s="751">
        <f>BH55/BH$39</f>
        <v>-0.011562032884902838</v>
      </c>
      <c r="BI105" s="435">
        <f t="shared" si="337"/>
        <v>0</v>
      </c>
      <c r="BJ105" s="982">
        <f t="shared" si="339"/>
        <v>-0.010648142237055406</v>
      </c>
      <c r="BK105" s="435">
        <f t="shared" si="340"/>
        <v>0</v>
      </c>
      <c r="BL105" s="435">
        <f t="shared" si="340"/>
        <v>0</v>
      </c>
      <c r="BM105" s="435">
        <f t="shared" si="340"/>
        <v>0</v>
      </c>
      <c r="BN105" s="435">
        <f t="shared" si="340"/>
        <v>0</v>
      </c>
      <c r="BO105" s="982">
        <f t="shared" si="340"/>
        <v>0</v>
      </c>
      <c r="BP105" s="982">
        <f t="shared" si="340"/>
        <v>0</v>
      </c>
      <c r="BQ105" s="982">
        <f t="shared" si="340"/>
        <v>0</v>
      </c>
      <c r="BR105" s="982">
        <f t="shared" si="340"/>
        <v>0</v>
      </c>
      <c r="BS105" s="379"/>
    </row>
    <row r="106" spans="1:71" s="381" customFormat="1" ht="15">
      <c r="A106" s="573" t="s">
        <v>560</v>
      </c>
      <c r="B106" s="434"/>
      <c r="C106" s="982">
        <f t="shared" si="342" ref="C106:AR106">C56/C$39</f>
        <v>0.021308432159865533</v>
      </c>
      <c r="D106" s="982">
        <f t="shared" si="342"/>
        <v>0.052084873086972745</v>
      </c>
      <c r="E106" s="982">
        <f t="shared" si="342"/>
        <v>0.1159272068809416</v>
      </c>
      <c r="F106" s="982">
        <f t="shared" si="342"/>
        <v>0.083551773493760348</v>
      </c>
      <c r="G106" s="982">
        <f t="shared" si="342"/>
        <v>0.026074126430180679</v>
      </c>
      <c r="H106" s="435">
        <f t="shared" si="342"/>
        <v>0.026033316160054953</v>
      </c>
      <c r="I106" s="435">
        <f t="shared" si="342"/>
        <v>0.073224190283400811</v>
      </c>
      <c r="J106" s="435">
        <f t="shared" si="342"/>
        <v>0.014086912919939831</v>
      </c>
      <c r="K106" s="435">
        <f t="shared" si="342"/>
        <v>0.0063261414952333166</v>
      </c>
      <c r="L106" s="982">
        <f t="shared" si="342"/>
        <v>0.029684266014422471</v>
      </c>
      <c r="M106" s="435">
        <f t="shared" si="342"/>
        <v>0.027171195652173914</v>
      </c>
      <c r="N106" s="435">
        <f t="shared" si="342"/>
        <v>0.036706963412577981</v>
      </c>
      <c r="O106" s="435">
        <f t="shared" si="342"/>
        <v>0.014376989389920426</v>
      </c>
      <c r="P106" s="435">
        <f t="shared" si="342"/>
        <v>0.0074354972605014114</v>
      </c>
      <c r="Q106" s="982">
        <f t="shared" si="342"/>
        <v>0.021474197872162183</v>
      </c>
      <c r="R106" s="435">
        <f t="shared" si="342"/>
        <v>0.052936632670122059</v>
      </c>
      <c r="S106" s="435">
        <f t="shared" si="342"/>
        <v>0.054268831382891056</v>
      </c>
      <c r="T106" s="435">
        <f t="shared" si="342"/>
        <v>0.014079078756643583</v>
      </c>
      <c r="U106" s="435">
        <f t="shared" si="342"/>
        <v>0.021705432531464074</v>
      </c>
      <c r="V106" s="982">
        <f t="shared" si="342"/>
        <v>0.036291717616369124</v>
      </c>
      <c r="W106" s="435">
        <f t="shared" si="342"/>
        <v>0.056017952450266868</v>
      </c>
      <c r="X106" s="435">
        <f t="shared" si="342"/>
        <v>0.063765391276964262</v>
      </c>
      <c r="Y106" s="435">
        <f t="shared" si="342"/>
        <v>0.10734370688333589</v>
      </c>
      <c r="Z106" s="435">
        <f t="shared" si="342"/>
        <v>0.074962873528523988</v>
      </c>
      <c r="AA106" s="982">
        <f t="shared" si="342"/>
        <v>0.07536467702371219</v>
      </c>
      <c r="AB106" s="435">
        <f t="shared" si="342"/>
        <v>0.054150527765029828</v>
      </c>
      <c r="AC106" s="435">
        <f t="shared" si="342"/>
        <v>0.072633009708737858</v>
      </c>
      <c r="AD106" s="435">
        <f t="shared" si="342"/>
        <v>0.038618279569892465</v>
      </c>
      <c r="AE106" s="435">
        <f t="shared" si="342"/>
        <v>0.087704103671706266</v>
      </c>
      <c r="AF106" s="982">
        <f t="shared" si="342"/>
        <v>0.063690712886655079</v>
      </c>
      <c r="AG106" s="435">
        <f t="shared" si="342"/>
        <v>0.027986287381473379</v>
      </c>
      <c r="AH106" s="435">
        <f t="shared" si="342"/>
        <v>0.052866771608471662</v>
      </c>
      <c r="AI106" s="435">
        <f t="shared" si="342"/>
        <v>0.033714166318428752</v>
      </c>
      <c r="AJ106" s="435">
        <f t="shared" si="342"/>
        <v>0.011977379310344826</v>
      </c>
      <c r="AK106" s="982">
        <f t="shared" si="342"/>
        <v>0.031140704584040751</v>
      </c>
      <c r="AL106" s="435">
        <f t="shared" si="342"/>
        <v>0.04557117166966386</v>
      </c>
      <c r="AM106" s="435">
        <f t="shared" si="342"/>
        <v>0.12281624730409778</v>
      </c>
      <c r="AN106" s="435">
        <f t="shared" si="342"/>
        <v>0.053370460704607048</v>
      </c>
      <c r="AO106" s="435">
        <f t="shared" si="342"/>
        <v>0.0039524064171122981</v>
      </c>
      <c r="AP106" s="982">
        <f t="shared" si="342"/>
        <v>0.055612725519900839</v>
      </c>
      <c r="AQ106" s="435">
        <f t="shared" si="342"/>
        <v>0.11311291632818847</v>
      </c>
      <c r="AR106" s="435">
        <f t="shared" si="342"/>
        <v>0.062639705882352931</v>
      </c>
      <c r="AS106" s="435">
        <f t="shared" si="333"/>
        <v>0.064190828969217018</v>
      </c>
      <c r="AT106" s="435">
        <f t="shared" si="333"/>
        <v>0.0050852442671984041</v>
      </c>
      <c r="AU106" s="982">
        <f t="shared" si="333"/>
        <v>0.060339750445632792</v>
      </c>
      <c r="AV106" s="435">
        <f t="shared" si="334"/>
        <v>0.019886074369852756</v>
      </c>
      <c r="AW106" s="435">
        <f t="shared" si="334"/>
        <v>0.089731874473968978</v>
      </c>
      <c r="AX106" s="435">
        <f t="shared" si="335"/>
        <v>0.059087405687753919</v>
      </c>
      <c r="AY106" s="435">
        <f t="shared" si="335"/>
        <v>0.051982080072587047</v>
      </c>
      <c r="AZ106" s="982">
        <f t="shared" si="335"/>
        <v>0.05526866688386696</v>
      </c>
      <c r="BA106" s="435">
        <f t="shared" si="336"/>
        <v>0.060021007454257952</v>
      </c>
      <c r="BB106" s="435">
        <f t="shared" si="336"/>
        <v>0.16070355902777778</v>
      </c>
      <c r="BC106" s="435">
        <f t="shared" si="337"/>
        <v>0.087645811895451745</v>
      </c>
      <c r="BD106" s="435">
        <f t="shared" si="337"/>
        <v>0.012591998395668304</v>
      </c>
      <c r="BE106" s="982">
        <f t="shared" si="337"/>
        <v>0.078636264929424521</v>
      </c>
      <c r="BF106" s="435">
        <f t="shared" si="338"/>
        <v>0.070470077029429201</v>
      </c>
      <c r="BG106" s="435">
        <f t="shared" si="338"/>
        <v>0.14737176608415503</v>
      </c>
      <c r="BH106" s="751">
        <f>BH56/BH$39</f>
        <v>0.087685444693572492</v>
      </c>
      <c r="BI106" s="435">
        <f t="shared" si="337"/>
        <v>0.047244256591215499</v>
      </c>
      <c r="BJ106" s="982">
        <f t="shared" si="339"/>
        <v>0.088290560030430357</v>
      </c>
      <c r="BK106" s="435">
        <f t="shared" si="340"/>
        <v>0.045335298773597613</v>
      </c>
      <c r="BL106" s="435">
        <f t="shared" si="340"/>
        <v>0.047926355188365487</v>
      </c>
      <c r="BM106" s="435">
        <f t="shared" si="340"/>
        <v>0.048463527130931397</v>
      </c>
      <c r="BN106" s="435">
        <f t="shared" si="340"/>
        <v>0.047613413335860902</v>
      </c>
      <c r="BO106" s="982">
        <f t="shared" si="340"/>
        <v>0.047369968918157597</v>
      </c>
      <c r="BP106" s="982">
        <f t="shared" si="340"/>
        <v>0.047979420185510047</v>
      </c>
      <c r="BQ106" s="982">
        <f t="shared" si="340"/>
        <v>0.048448499843160645</v>
      </c>
      <c r="BR106" s="982">
        <f t="shared" si="340"/>
        <v>0.048920694153415253</v>
      </c>
      <c r="BS106" s="379"/>
    </row>
    <row r="107" spans="1:71" s="28" customFormat="1" ht="15">
      <c r="A107" s="180" t="s">
        <v>72</v>
      </c>
      <c r="B107" s="455"/>
      <c r="C107" s="989">
        <f t="shared" si="343" ref="C107:AH107">C57/C39</f>
        <v>0.57932580072835937</v>
      </c>
      <c r="D107" s="1012">
        <f t="shared" si="343"/>
        <v>0.61636804777902199</v>
      </c>
      <c r="E107" s="1012">
        <f t="shared" si="343"/>
        <v>0.73680398370303302</v>
      </c>
      <c r="F107" s="1012">
        <f t="shared" si="343"/>
        <v>0.65643869928881338</v>
      </c>
      <c r="G107" s="1012">
        <f t="shared" si="343"/>
        <v>0.58784291204664929</v>
      </c>
      <c r="H107" s="97">
        <f t="shared" si="343"/>
        <v>0.5692941782586296</v>
      </c>
      <c r="I107" s="97">
        <f t="shared" si="343"/>
        <v>0.64541160593792168</v>
      </c>
      <c r="J107" s="97">
        <f t="shared" si="343"/>
        <v>0.58833361190038447</v>
      </c>
      <c r="K107" s="97">
        <f t="shared" si="343"/>
        <v>0.53671182471985279</v>
      </c>
      <c r="L107" s="1012">
        <f t="shared" si="343"/>
        <v>0.58491123012693458</v>
      </c>
      <c r="M107" s="97">
        <f t="shared" si="343"/>
        <v>0.58271059782608692</v>
      </c>
      <c r="N107" s="97">
        <f t="shared" si="343"/>
        <v>0.59804417467543414</v>
      </c>
      <c r="O107" s="97">
        <f t="shared" si="343"/>
        <v>0.56067639257294433</v>
      </c>
      <c r="P107" s="97">
        <f t="shared" si="343"/>
        <v>0.55835962145110407</v>
      </c>
      <c r="Q107" s="1012">
        <f t="shared" si="343"/>
        <v>0.57480941610119796</v>
      </c>
      <c r="R107" s="97">
        <f t="shared" si="343"/>
        <v>0.62063200133756902</v>
      </c>
      <c r="S107" s="97">
        <f t="shared" si="343"/>
        <v>0.62007582000988959</v>
      </c>
      <c r="T107" s="97">
        <f t="shared" si="343"/>
        <v>0.62103398292800771</v>
      </c>
      <c r="U107" s="97">
        <f t="shared" si="343"/>
        <v>0.59582603154373104</v>
      </c>
      <c r="V107" s="1012">
        <f t="shared" si="343"/>
        <v>0.61424961278226131</v>
      </c>
      <c r="W107" s="97">
        <f t="shared" si="343"/>
        <v>0.66213812065340449</v>
      </c>
      <c r="X107" s="97">
        <f t="shared" si="343"/>
        <v>0.66524956699732329</v>
      </c>
      <c r="Y107" s="97">
        <f t="shared" si="343"/>
        <v>0.7367775563391078</v>
      </c>
      <c r="Z107" s="97">
        <f t="shared" si="343"/>
        <v>0.65529731361303956</v>
      </c>
      <c r="AA107" s="1012">
        <f t="shared" si="343"/>
        <v>0.68009967682903083</v>
      </c>
      <c r="AB107" s="97">
        <f t="shared" si="343"/>
        <v>0.65718219366681963</v>
      </c>
      <c r="AC107" s="97">
        <f t="shared" si="343"/>
        <v>0.68140403286034357</v>
      </c>
      <c r="AD107" s="97">
        <f t="shared" si="343"/>
        <v>0.67640220866027323</v>
      </c>
      <c r="AE107" s="97">
        <f t="shared" si="343"/>
        <v>0.68797696184305257</v>
      </c>
      <c r="AF107" s="1012">
        <f t="shared" si="343"/>
        <v>0.67596733064784364</v>
      </c>
      <c r="AG107" s="97">
        <f t="shared" si="343"/>
        <v>0.64799416484318018</v>
      </c>
      <c r="AH107" s="97">
        <f t="shared" si="343"/>
        <v>0.68989696622781915</v>
      </c>
      <c r="AI107" s="97">
        <f t="shared" si="344" ref="AI107:AR107">AI57/AI39</f>
        <v>0.72851372057389607</v>
      </c>
      <c r="AJ107" s="97">
        <f t="shared" si="344"/>
        <v>0.64</v>
      </c>
      <c r="AK107" s="1012">
        <f t="shared" si="344"/>
        <v>0.676747311827957</v>
      </c>
      <c r="AL107" s="97">
        <f t="shared" si="344"/>
        <v>0.66247060450961404</v>
      </c>
      <c r="AM107" s="97">
        <f t="shared" si="344"/>
        <v>0.73429187634795112</v>
      </c>
      <c r="AN107" s="97">
        <f t="shared" si="344"/>
        <v>0.66205962059620593</v>
      </c>
      <c r="AO107" s="97">
        <f t="shared" si="344"/>
        <v>0.58034759358288768</v>
      </c>
      <c r="AP107" s="1012">
        <f t="shared" si="344"/>
        <v>0.65841481889546893</v>
      </c>
      <c r="AQ107" s="97">
        <f t="shared" si="344"/>
        <v>0.67289466558353639</v>
      </c>
      <c r="AR107" s="97">
        <f t="shared" si="344"/>
        <v>0.66242121848739499</v>
      </c>
      <c r="AS107" s="97">
        <f t="shared" si="345" ref="AS107:AX107">AS57/AS39</f>
        <v>0.69791799718993486</v>
      </c>
      <c r="AT107" s="97">
        <f t="shared" si="345"/>
        <v>0.60057328015952138</v>
      </c>
      <c r="AU107" s="1012">
        <f t="shared" si="345"/>
        <v>0.65785123966942149</v>
      </c>
      <c r="AV107" s="97">
        <f t="shared" si="345"/>
        <v>0.62877464437234842</v>
      </c>
      <c r="AW107" s="97">
        <f t="shared" si="345"/>
        <v>0.69772754599014064</v>
      </c>
      <c r="AX107" s="97">
        <f t="shared" si="345"/>
        <v>0.7066744051073709</v>
      </c>
      <c r="AY107" s="97">
        <f t="shared" si="346" ref="AY107:BJ107">AY57/AY39</f>
        <v>0.67188386072360218</v>
      </c>
      <c r="AZ107" s="1012">
        <f t="shared" si="346"/>
        <v>0.67689482569676862</v>
      </c>
      <c r="BA107" s="97">
        <f t="shared" si="347" ref="BA107:BI107">BA57/BA39</f>
        <v>0.67302913937203523</v>
      </c>
      <c r="BB107" s="97">
        <f t="shared" si="347"/>
        <v>0.7841796875</v>
      </c>
      <c r="BC107" s="97">
        <f t="shared" si="347"/>
        <v>0.73564519448446186</v>
      </c>
      <c r="BD107" s="97">
        <f t="shared" si="347"/>
        <v>0.58959189812493729</v>
      </c>
      <c r="BE107" s="1012">
        <f t="shared" si="347"/>
        <v>0.69423479251079157</v>
      </c>
      <c r="BF107" s="97">
        <f>BF57/BF39</f>
        <v>0.657317795773257</v>
      </c>
      <c r="BG107" s="97">
        <f>BG57/BG39</f>
        <v>0.71980864980962611</v>
      </c>
      <c r="BH107" s="750">
        <f>BH57/BH39</f>
        <v>0.6535874439461884</v>
      </c>
      <c r="BI107" s="648">
        <f t="shared" si="347"/>
        <v>0.63269645973130073</v>
      </c>
      <c r="BJ107" s="1013">
        <f t="shared" si="346"/>
        <v>0.66578274414500682</v>
      </c>
      <c r="BK107" s="648">
        <f t="shared" si="348" ref="BK107:BR107">BK57/BK39</f>
        <v>0.63518700499096292</v>
      </c>
      <c r="BL107" s="648">
        <f t="shared" si="348"/>
        <v>0.66443154434405605</v>
      </c>
      <c r="BM107" s="648">
        <f t="shared" si="348"/>
        <v>0.64944326732622371</v>
      </c>
      <c r="BN107" s="648">
        <f t="shared" si="348"/>
        <v>0.63265348882605199</v>
      </c>
      <c r="BO107" s="1013">
        <f t="shared" si="348"/>
        <v>0.64589948024674559</v>
      </c>
      <c r="BP107" s="1013">
        <f t="shared" si="348"/>
        <v>0.6494685572256611</v>
      </c>
      <c r="BQ107" s="1013">
        <f t="shared" si="348"/>
        <v>0.63950475575546439</v>
      </c>
      <c r="BR107" s="1013">
        <f t="shared" si="348"/>
        <v>0.64954740251762044</v>
      </c>
      <c r="BS107" s="43"/>
    </row>
    <row r="108" spans="1:71" s="28" customFormat="1" ht="15">
      <c r="A108" s="458"/>
      <c r="B108" s="459"/>
      <c r="C108" s="990"/>
      <c r="D108" s="1018"/>
      <c r="E108" s="1018"/>
      <c r="F108" s="1018"/>
      <c r="G108" s="1018"/>
      <c r="H108" s="460"/>
      <c r="I108" s="460"/>
      <c r="J108" s="460"/>
      <c r="K108" s="460"/>
      <c r="L108" s="1018"/>
      <c r="M108" s="460"/>
      <c r="N108" s="460"/>
      <c r="O108" s="460"/>
      <c r="P108" s="460"/>
      <c r="Q108" s="1018"/>
      <c r="R108" s="460"/>
      <c r="S108" s="460"/>
      <c r="T108" s="460"/>
      <c r="U108" s="460"/>
      <c r="V108" s="1018"/>
      <c r="W108" s="460"/>
      <c r="X108" s="460"/>
      <c r="Y108" s="460"/>
      <c r="Z108" s="460"/>
      <c r="AA108" s="1018"/>
      <c r="AB108" s="460"/>
      <c r="AC108" s="460"/>
      <c r="AD108" s="460"/>
      <c r="AE108" s="460"/>
      <c r="AF108" s="1018"/>
      <c r="AG108" s="460"/>
      <c r="AH108" s="460"/>
      <c r="AI108" s="460"/>
      <c r="AJ108" s="460"/>
      <c r="AK108" s="1018"/>
      <c r="AL108" s="460"/>
      <c r="AM108" s="460"/>
      <c r="AN108" s="460"/>
      <c r="AO108" s="460"/>
      <c r="AP108" s="1018"/>
      <c r="AQ108" s="460"/>
      <c r="AR108" s="460"/>
      <c r="AS108" s="460"/>
      <c r="AT108" s="460"/>
      <c r="AU108" s="1018"/>
      <c r="AV108" s="460"/>
      <c r="AW108" s="460"/>
      <c r="AX108" s="460"/>
      <c r="AY108" s="460"/>
      <c r="AZ108" s="1018"/>
      <c r="BA108" s="460"/>
      <c r="BB108" s="460"/>
      <c r="BC108" s="460"/>
      <c r="BD108" s="460"/>
      <c r="BE108" s="1018"/>
      <c r="BF108" s="460"/>
      <c r="BG108" s="460"/>
      <c r="BH108" s="757"/>
      <c r="BI108" s="460"/>
      <c r="BJ108" s="1018"/>
      <c r="BK108" s="460"/>
      <c r="BL108" s="460"/>
      <c r="BM108" s="460"/>
      <c r="BN108" s="460"/>
      <c r="BO108" s="1018"/>
      <c r="BP108" s="1018"/>
      <c r="BQ108" s="1018"/>
      <c r="BR108" s="1018"/>
      <c r="BS108" s="43"/>
    </row>
    <row r="109" spans="1:71" s="27" customFormat="1" ht="15">
      <c r="A109" s="380" t="s">
        <v>496</v>
      </c>
      <c r="B109" s="456"/>
      <c r="C109" s="1019">
        <f t="shared" si="349" ref="C109:AR109">C59/C$36</f>
        <v>0.16183442742523704</v>
      </c>
      <c r="D109" s="983">
        <f t="shared" si="349"/>
        <v>0.16245587962102917</v>
      </c>
      <c r="E109" s="983">
        <f t="shared" si="349"/>
        <v>0.16023660280745122</v>
      </c>
      <c r="F109" s="983">
        <f t="shared" si="349"/>
        <v>0.16114960225814728</v>
      </c>
      <c r="G109" s="983">
        <f t="shared" si="349"/>
        <v>0.16186618661866187</v>
      </c>
      <c r="H109" s="71">
        <f t="shared" si="349"/>
        <v>0.15879707700955592</v>
      </c>
      <c r="I109" s="71">
        <f t="shared" si="349"/>
        <v>0.15973561002478656</v>
      </c>
      <c r="J109" s="71">
        <f t="shared" si="349"/>
        <v>0.16092896174863389</v>
      </c>
      <c r="K109" s="71">
        <f t="shared" si="349"/>
        <v>0.16025116025116026</v>
      </c>
      <c r="L109" s="983">
        <f t="shared" si="349"/>
        <v>0.15993660418963615</v>
      </c>
      <c r="M109" s="71">
        <f t="shared" si="349"/>
        <v>0.16132596685082873</v>
      </c>
      <c r="N109" s="71">
        <f t="shared" si="349"/>
        <v>0.1601551676364644</v>
      </c>
      <c r="O109" s="71">
        <f t="shared" si="349"/>
        <v>0.16123733917328223</v>
      </c>
      <c r="P109" s="71">
        <f t="shared" si="349"/>
        <v>0.15883484473756526</v>
      </c>
      <c r="Q109" s="983">
        <f t="shared" si="349"/>
        <v>0.16038840300254803</v>
      </c>
      <c r="R109" s="71">
        <f t="shared" si="349"/>
        <v>0.15992970123022848</v>
      </c>
      <c r="S109" s="71">
        <f t="shared" si="349"/>
        <v>0.16080255888339634</v>
      </c>
      <c r="T109" s="71">
        <f t="shared" si="349"/>
        <v>0.16099513869030599</v>
      </c>
      <c r="U109" s="71">
        <f t="shared" si="349"/>
        <v>0.15948644793152639</v>
      </c>
      <c r="V109" s="983">
        <f t="shared" si="349"/>
        <v>0.16030313966077228</v>
      </c>
      <c r="W109" s="71">
        <f t="shared" si="349"/>
        <v>0.1615631379410907</v>
      </c>
      <c r="X109" s="71">
        <f t="shared" si="349"/>
        <v>0.16181506849315069</v>
      </c>
      <c r="Y109" s="71">
        <f t="shared" si="349"/>
        <v>0.16191275167785235</v>
      </c>
      <c r="Z109" s="71">
        <f t="shared" si="349"/>
        <v>0.16112180368435525</v>
      </c>
      <c r="AA109" s="983">
        <f t="shared" si="349"/>
        <v>0.16160045242471369</v>
      </c>
      <c r="AB109" s="71">
        <f t="shared" si="349"/>
        <v>0.16255605381165919</v>
      </c>
      <c r="AC109" s="71">
        <f t="shared" si="349"/>
        <v>0.16149409502883824</v>
      </c>
      <c r="AD109" s="71">
        <f t="shared" si="349"/>
        <v>0.16297087897408497</v>
      </c>
      <c r="AE109" s="71">
        <f t="shared" si="349"/>
        <v>0.16180371352785147</v>
      </c>
      <c r="AF109" s="983">
        <f t="shared" si="349"/>
        <v>0.16220622198070914</v>
      </c>
      <c r="AG109" s="71">
        <f t="shared" si="349"/>
        <v>0.16435061464457509</v>
      </c>
      <c r="AH109" s="71">
        <f t="shared" si="349"/>
        <v>0.1633624107850912</v>
      </c>
      <c r="AI109" s="71">
        <f t="shared" si="349"/>
        <v>0.16331787738279238</v>
      </c>
      <c r="AJ109" s="71">
        <f t="shared" si="349"/>
        <v>0.16337015155407142</v>
      </c>
      <c r="AK109" s="983">
        <f t="shared" si="349"/>
        <v>0.16359477124183006</v>
      </c>
      <c r="AL109" s="71">
        <f t="shared" si="349"/>
        <v>0.16459627329192547</v>
      </c>
      <c r="AM109" s="71">
        <f t="shared" si="349"/>
        <v>0.16653279785809907</v>
      </c>
      <c r="AN109" s="71">
        <f t="shared" si="349"/>
        <v>0.16480083311637594</v>
      </c>
      <c r="AO109" s="71">
        <f t="shared" si="349"/>
        <v>0.16268811624286456</v>
      </c>
      <c r="AP109" s="983">
        <f t="shared" si="349"/>
        <v>0.16463972799790769</v>
      </c>
      <c r="AQ109" s="71">
        <f t="shared" si="349"/>
        <v>0.16504343248223216</v>
      </c>
      <c r="AR109" s="71">
        <f t="shared" si="349"/>
        <v>0.16546391752577319</v>
      </c>
      <c r="AS109" s="71">
        <f t="shared" si="350" ref="AS109:AX109">AS59/AS$36</f>
        <v>0.16448362720403023</v>
      </c>
      <c r="AT109" s="71">
        <f t="shared" si="350"/>
        <v>0.1613219094247246</v>
      </c>
      <c r="AU109" s="983">
        <f t="shared" si="350"/>
        <v>0.1640396593364688</v>
      </c>
      <c r="AV109" s="71">
        <f t="shared" si="350"/>
        <v>0.16408744780152296</v>
      </c>
      <c r="AW109" s="71">
        <f t="shared" si="350"/>
        <v>0.16382171645329541</v>
      </c>
      <c r="AX109" s="71">
        <f t="shared" si="350"/>
        <v>0.16264645072363887</v>
      </c>
      <c r="AY109" s="71">
        <f t="shared" si="351" ref="AY109:BE109">AY59/AY$36</f>
        <v>0.1619133168650348</v>
      </c>
      <c r="AZ109" s="983">
        <f t="shared" si="351"/>
        <v>0.16308862240421176</v>
      </c>
      <c r="BA109" s="71">
        <f t="shared" si="351"/>
        <v>0.16573598391780209</v>
      </c>
      <c r="BB109" s="71">
        <f t="shared" si="351"/>
        <v>0.16645133505598622</v>
      </c>
      <c r="BC109" s="71">
        <f t="shared" si="351"/>
        <v>0.16545601291364004</v>
      </c>
      <c r="BD109" s="71">
        <f t="shared" si="351"/>
        <v>0.16538385632524177</v>
      </c>
      <c r="BE109" s="983">
        <f t="shared" si="351"/>
        <v>0.16574383618888425</v>
      </c>
      <c r="BF109" s="71">
        <f>BF59/BF$36</f>
        <v>0.16744186046511628</v>
      </c>
      <c r="BG109" s="71">
        <f>BG59/BG$36</f>
        <v>0.16660216718266255</v>
      </c>
      <c r="BH109" s="740">
        <f>BH59/BH$36</f>
        <v>0.16989404457435148</v>
      </c>
      <c r="BI109" s="907">
        <v>0.16</v>
      </c>
      <c r="BJ109" s="982">
        <f>BJ59/BJ$36</f>
        <v>0.16605624733285065</v>
      </c>
      <c r="BK109" s="907">
        <v>0.16400000000000001</v>
      </c>
      <c r="BL109" s="907">
        <v>0.16400000000000001</v>
      </c>
      <c r="BM109" s="907">
        <v>0.16400000000000001</v>
      </c>
      <c r="BN109" s="907">
        <v>0.16</v>
      </c>
      <c r="BO109" s="982">
        <f>BO59/BO$36</f>
        <v>0.16308230247924457</v>
      </c>
      <c r="BP109" s="984">
        <v>0.16200000000000001</v>
      </c>
      <c r="BQ109" s="984">
        <v>0.16</v>
      </c>
      <c r="BR109" s="984">
        <v>0.16200000000000001</v>
      </c>
      <c r="BS109" s="71"/>
    </row>
    <row r="110" spans="1:71" s="27" customFormat="1" ht="15">
      <c r="A110" s="380" t="s">
        <v>497</v>
      </c>
      <c r="B110" s="456"/>
      <c r="C110" s="1019">
        <f t="shared" si="352" ref="C110:AR110">C60/C37</f>
        <v>0.18661866186618661</v>
      </c>
      <c r="D110" s="983">
        <f t="shared" si="352"/>
        <v>0.18450406994271931</v>
      </c>
      <c r="E110" s="983">
        <f t="shared" si="352"/>
        <v>0.18998109640831759</v>
      </c>
      <c r="F110" s="983">
        <f t="shared" si="352"/>
        <v>0.19343185550082101</v>
      </c>
      <c r="G110" s="983">
        <f t="shared" si="352"/>
        <v>0.19081272084805653</v>
      </c>
      <c r="H110" s="71">
        <f t="shared" si="352"/>
        <v>0.18489065606361829</v>
      </c>
      <c r="I110" s="71">
        <f t="shared" si="352"/>
        <v>0.18129770992366412</v>
      </c>
      <c r="J110" s="71">
        <f t="shared" si="352"/>
        <v>0.19165085388994307</v>
      </c>
      <c r="K110" s="71">
        <f t="shared" si="352"/>
        <v>0.18965517241379309</v>
      </c>
      <c r="L110" s="983">
        <f t="shared" si="352"/>
        <v>0.18689788053949905</v>
      </c>
      <c r="M110" s="71">
        <f t="shared" si="352"/>
        <v>0.18650793650793651</v>
      </c>
      <c r="N110" s="71">
        <f t="shared" si="352"/>
        <v>0.1851145038167939</v>
      </c>
      <c r="O110" s="71">
        <f t="shared" si="352"/>
        <v>0.19294990723562153</v>
      </c>
      <c r="P110" s="71">
        <f t="shared" si="352"/>
        <v>0.1891891891891892</v>
      </c>
      <c r="Q110" s="983">
        <f t="shared" si="352"/>
        <v>0.18848920863309351</v>
      </c>
      <c r="R110" s="71">
        <f t="shared" si="352"/>
        <v>0.18478260869565216</v>
      </c>
      <c r="S110" s="71">
        <f t="shared" si="352"/>
        <v>0.18604651162790697</v>
      </c>
      <c r="T110" s="71">
        <f t="shared" si="352"/>
        <v>0.19022687609075042</v>
      </c>
      <c r="U110" s="71">
        <f t="shared" si="352"/>
        <v>0.18402777777777779</v>
      </c>
      <c r="V110" s="983">
        <f t="shared" si="352"/>
        <v>0.18628318584070797</v>
      </c>
      <c r="W110" s="71">
        <f t="shared" si="352"/>
        <v>0.18558558558558558</v>
      </c>
      <c r="X110" s="71">
        <f t="shared" si="352"/>
        <v>0.18782608695652173</v>
      </c>
      <c r="Y110" s="71">
        <f t="shared" si="352"/>
        <v>0.18781725888324874</v>
      </c>
      <c r="Z110" s="71">
        <f t="shared" si="352"/>
        <v>0.18771331058020477</v>
      </c>
      <c r="AA110" s="983">
        <f t="shared" si="352"/>
        <v>0.18725617685305593</v>
      </c>
      <c r="AB110" s="71">
        <f t="shared" si="352"/>
        <v>0.18384879725085912</v>
      </c>
      <c r="AC110" s="71">
        <f t="shared" si="352"/>
        <v>0.18801996672212978</v>
      </c>
      <c r="AD110" s="71">
        <f t="shared" si="352"/>
        <v>0.18962722852512157</v>
      </c>
      <c r="AE110" s="71">
        <f t="shared" si="352"/>
        <v>0.18870967741935485</v>
      </c>
      <c r="AF110" s="983">
        <f t="shared" si="352"/>
        <v>0.18760330578512396</v>
      </c>
      <c r="AG110" s="71">
        <f t="shared" si="352"/>
        <v>0.18481848184818481</v>
      </c>
      <c r="AH110" s="71">
        <f t="shared" si="352"/>
        <v>0.18670886075949367</v>
      </c>
      <c r="AI110" s="71">
        <f t="shared" si="352"/>
        <v>0.18836140888208269</v>
      </c>
      <c r="AJ110" s="71">
        <f t="shared" si="352"/>
        <v>0.18545994065281898</v>
      </c>
      <c r="AK110" s="983">
        <f t="shared" si="352"/>
        <v>0.18635477582846005</v>
      </c>
      <c r="AL110" s="71">
        <f t="shared" si="352"/>
        <v>0.18590704647676162</v>
      </c>
      <c r="AM110" s="71">
        <f t="shared" si="352"/>
        <v>0.1847041847041847</v>
      </c>
      <c r="AN110" s="71">
        <f t="shared" si="352"/>
        <v>0.1839557399723375</v>
      </c>
      <c r="AO110" s="71">
        <f t="shared" si="352"/>
        <v>0.18108108108108109</v>
      </c>
      <c r="AP110" s="983">
        <f t="shared" si="352"/>
        <v>0.18384697130712008</v>
      </c>
      <c r="AQ110" s="71">
        <f t="shared" si="352"/>
        <v>0.18034993270524899</v>
      </c>
      <c r="AR110" s="71">
        <f t="shared" si="352"/>
        <v>0.18298969072164947</v>
      </c>
      <c r="AS110" s="71">
        <f t="shared" si="353" ref="AS110:AU112">AS60/AS37</f>
        <v>0.18238213399503722</v>
      </c>
      <c r="AT110" s="71">
        <f t="shared" si="353"/>
        <v>0.18081180811808117</v>
      </c>
      <c r="AU110" s="983">
        <f t="shared" si="353"/>
        <v>0.18164435946462715</v>
      </c>
      <c r="AV110" s="71">
        <f t="shared" si="354" ref="AV110:AW112">AV60/AV37</f>
        <v>0.18170731707317073</v>
      </c>
      <c r="AW110" s="71">
        <f t="shared" si="354"/>
        <v>0.18213866039952997</v>
      </c>
      <c r="AX110" s="71">
        <f t="shared" si="355" ref="AX110:AZ112">AX60/AX37</f>
        <v>0.1847206385404789</v>
      </c>
      <c r="AY110" s="71">
        <f t="shared" si="355"/>
        <v>0.18275862068965518</v>
      </c>
      <c r="AZ110" s="983">
        <f t="shared" si="355"/>
        <v>0.18285547103569338</v>
      </c>
      <c r="BA110" s="71">
        <f t="shared" si="356" ref="BA110:BB112">BA60/BA37</f>
        <v>0.18285714285714286</v>
      </c>
      <c r="BB110" s="71">
        <f t="shared" si="356"/>
        <v>0.18441273326015367</v>
      </c>
      <c r="BC110" s="71">
        <f t="shared" si="357" ref="BC110:BE112">BC60/BC37</f>
        <v>0.18502673796791444</v>
      </c>
      <c r="BD110" s="71">
        <f t="shared" si="357"/>
        <v>0.1841541755888651</v>
      </c>
      <c r="BE110" s="983">
        <f t="shared" si="357"/>
        <v>0.18413132694938442</v>
      </c>
      <c r="BF110" s="71">
        <f t="shared" si="358" ref="BF110:BG112">BF60/BF37</f>
        <v>0.1903765690376569</v>
      </c>
      <c r="BG110" s="71">
        <f t="shared" si="358"/>
        <v>0.18730808597748208</v>
      </c>
      <c r="BH110" s="740">
        <f>BH60/BH37</f>
        <v>0.19226957383548068</v>
      </c>
      <c r="BI110" s="907">
        <v>0.18</v>
      </c>
      <c r="BJ110" s="982">
        <f>BJ60/BJ37</f>
        <v>0.18754565514794555</v>
      </c>
      <c r="BK110" s="907">
        <v>0.187</v>
      </c>
      <c r="BL110" s="907">
        <v>0.187</v>
      </c>
      <c r="BM110" s="907">
        <v>0.187</v>
      </c>
      <c r="BN110" s="907">
        <v>0.18</v>
      </c>
      <c r="BO110" s="982">
        <f>BO60/BO37</f>
        <v>0.18528633571012151</v>
      </c>
      <c r="BP110" s="984">
        <v>0.185</v>
      </c>
      <c r="BQ110" s="984">
        <v>0.17</v>
      </c>
      <c r="BR110" s="984">
        <v>0.185</v>
      </c>
      <c r="BS110" s="71"/>
    </row>
    <row r="111" spans="1:71" s="27" customFormat="1" ht="15">
      <c r="A111" s="382" t="s">
        <v>498</v>
      </c>
      <c r="B111" s="461"/>
      <c r="C111" s="1020">
        <f t="shared" si="359" ref="C111:AR111">C61/C38</f>
        <v>0.19896023605451735</v>
      </c>
      <c r="D111" s="986">
        <f t="shared" si="359"/>
        <v>0.19608109946931554</v>
      </c>
      <c r="E111" s="986">
        <f t="shared" si="359"/>
        <v>0.19212017393595995</v>
      </c>
      <c r="F111" s="986">
        <f t="shared" si="359"/>
        <v>0.18855793202991733</v>
      </c>
      <c r="G111" s="986">
        <f t="shared" si="359"/>
        <v>0.17545057345712725</v>
      </c>
      <c r="H111" s="322">
        <f t="shared" si="359"/>
        <v>0.16572077185017026</v>
      </c>
      <c r="I111" s="322">
        <f t="shared" si="359"/>
        <v>0.16356457980823463</v>
      </c>
      <c r="J111" s="322">
        <f t="shared" si="359"/>
        <v>0.16369710467706014</v>
      </c>
      <c r="K111" s="322">
        <f t="shared" si="359"/>
        <v>0.16555183946488294</v>
      </c>
      <c r="L111" s="986">
        <f t="shared" si="359"/>
        <v>0.16463157894736843</v>
      </c>
      <c r="M111" s="322">
        <f t="shared" si="359"/>
        <v>0.16156462585034015</v>
      </c>
      <c r="N111" s="322">
        <f t="shared" si="359"/>
        <v>0.16017797552836485</v>
      </c>
      <c r="O111" s="322">
        <f t="shared" si="359"/>
        <v>0.15978260869565217</v>
      </c>
      <c r="P111" s="322">
        <f t="shared" si="359"/>
        <v>0.15862808145766344</v>
      </c>
      <c r="Q111" s="986">
        <f t="shared" si="359"/>
        <v>0.16001651073197579</v>
      </c>
      <c r="R111" s="322">
        <f t="shared" si="359"/>
        <v>0.16029776674937965</v>
      </c>
      <c r="S111" s="322">
        <f t="shared" si="359"/>
        <v>0.16046399226679556</v>
      </c>
      <c r="T111" s="322">
        <f t="shared" si="359"/>
        <v>0.15895278167367929</v>
      </c>
      <c r="U111" s="322">
        <f t="shared" si="359"/>
        <v>0.15846994535519127</v>
      </c>
      <c r="V111" s="986">
        <f t="shared" si="359"/>
        <v>0.15952013303242665</v>
      </c>
      <c r="W111" s="322">
        <f t="shared" si="359"/>
        <v>0.15734424738517508</v>
      </c>
      <c r="X111" s="322">
        <f t="shared" si="359"/>
        <v>0.15713028169014084</v>
      </c>
      <c r="Y111" s="322">
        <f t="shared" si="359"/>
        <v>0.15662139219015281</v>
      </c>
      <c r="Z111" s="322">
        <f t="shared" si="359"/>
        <v>0.15647107781939243</v>
      </c>
      <c r="AA111" s="986">
        <f t="shared" si="359"/>
        <v>0.15687973997833152</v>
      </c>
      <c r="AB111" s="322">
        <f t="shared" si="359"/>
        <v>0.15668202764976957</v>
      </c>
      <c r="AC111" s="322">
        <f t="shared" si="359"/>
        <v>0.15491235222176927</v>
      </c>
      <c r="AD111" s="322">
        <f t="shared" si="359"/>
        <v>0.15463917525773196</v>
      </c>
      <c r="AE111" s="322">
        <f t="shared" si="359"/>
        <v>0.15459882583170254</v>
      </c>
      <c r="AF111" s="986">
        <f t="shared" si="359"/>
        <v>0.15518806090551579</v>
      </c>
      <c r="AG111" s="322">
        <f t="shared" si="359"/>
        <v>0.15556441962504985</v>
      </c>
      <c r="AH111" s="322">
        <f t="shared" si="359"/>
        <v>0.15468324912553438</v>
      </c>
      <c r="AI111" s="322">
        <f t="shared" si="359"/>
        <v>0.15582450832072617</v>
      </c>
      <c r="AJ111" s="322">
        <f t="shared" si="359"/>
        <v>0.15654118524040253</v>
      </c>
      <c r="AK111" s="986">
        <f t="shared" si="359"/>
        <v>0.15566445661573941</v>
      </c>
      <c r="AL111" s="322">
        <f t="shared" si="359"/>
        <v>0.15492957746478872</v>
      </c>
      <c r="AM111" s="322">
        <f t="shared" si="359"/>
        <v>0.16739216462208151</v>
      </c>
      <c r="AN111" s="322">
        <f t="shared" si="359"/>
        <v>0.15660511363636365</v>
      </c>
      <c r="AO111" s="322">
        <f t="shared" si="359"/>
        <v>0.1573111573111573</v>
      </c>
      <c r="AP111" s="986">
        <f t="shared" si="359"/>
        <v>0.15887251761691223</v>
      </c>
      <c r="AQ111" s="322">
        <f t="shared" si="359"/>
        <v>0.15682137834036569</v>
      </c>
      <c r="AR111" s="322">
        <f t="shared" si="359"/>
        <v>0.15878378378378377</v>
      </c>
      <c r="AS111" s="322">
        <f t="shared" si="353"/>
        <v>0.15754995086799869</v>
      </c>
      <c r="AT111" s="322">
        <f t="shared" si="353"/>
        <v>0.15834932821497122</v>
      </c>
      <c r="AU111" s="986">
        <f t="shared" si="353"/>
        <v>0.15789034465492782</v>
      </c>
      <c r="AV111" s="322">
        <f t="shared" si="354"/>
        <v>0.15786103105987831</v>
      </c>
      <c r="AW111" s="322">
        <f t="shared" si="354"/>
        <v>0.15979064039408866</v>
      </c>
      <c r="AX111" s="322">
        <f t="shared" si="355"/>
        <v>0.15834564254062039</v>
      </c>
      <c r="AY111" s="322">
        <f t="shared" si="355"/>
        <v>0.15855752718946767</v>
      </c>
      <c r="AZ111" s="986">
        <f t="shared" si="355"/>
        <v>0.15864150943396227</v>
      </c>
      <c r="BA111" s="322">
        <f t="shared" si="356"/>
        <v>0.1599086236436322</v>
      </c>
      <c r="BB111" s="322">
        <f t="shared" si="356"/>
        <v>0.15788036055722479</v>
      </c>
      <c r="BC111" s="322">
        <f t="shared" si="357"/>
        <v>0.15965508230990333</v>
      </c>
      <c r="BD111" s="322">
        <f t="shared" si="357"/>
        <v>0.15886203423967774</v>
      </c>
      <c r="BE111" s="986">
        <f t="shared" si="357"/>
        <v>0.15906964309584279</v>
      </c>
      <c r="BF111" s="322">
        <f t="shared" si="358"/>
        <v>0.16259351620947632</v>
      </c>
      <c r="BG111" s="322">
        <f t="shared" si="358"/>
        <v>0.15470961444607126</v>
      </c>
      <c r="BH111" s="741">
        <f>BH61/BH38</f>
        <v>0.15778251599147122</v>
      </c>
      <c r="BI111" s="909">
        <v>0.14999999999999999</v>
      </c>
      <c r="BJ111" s="985">
        <f>BJ61/BJ38</f>
        <v>0.15624252128466171</v>
      </c>
      <c r="BK111" s="909">
        <v>0.16</v>
      </c>
      <c r="BL111" s="909">
        <v>0.16</v>
      </c>
      <c r="BM111" s="909">
        <v>0.16</v>
      </c>
      <c r="BN111" s="909">
        <v>0.14999999999999999</v>
      </c>
      <c r="BO111" s="985">
        <f>BO61/BO38</f>
        <v>0.15755634037006605</v>
      </c>
      <c r="BP111" s="987">
        <v>0.16</v>
      </c>
      <c r="BQ111" s="987">
        <v>0.14999999999999999</v>
      </c>
      <c r="BR111" s="987">
        <v>0.16</v>
      </c>
      <c r="BS111" s="71"/>
    </row>
    <row r="112" spans="1:71" s="28" customFormat="1" ht="15">
      <c r="A112" s="377" t="s">
        <v>499</v>
      </c>
      <c r="B112" s="459"/>
      <c r="C112" s="991">
        <f t="shared" si="360" ref="C112:AR112">C62/C39</f>
        <v>0.17802782706135026</v>
      </c>
      <c r="D112" s="1021">
        <f t="shared" si="360"/>
        <v>0.17739828294139603</v>
      </c>
      <c r="E112" s="1021">
        <f t="shared" si="360"/>
        <v>0.17546401086464464</v>
      </c>
      <c r="F112" s="1021">
        <f t="shared" si="360"/>
        <v>0.1748892964172295</v>
      </c>
      <c r="G112" s="1021">
        <f t="shared" si="360"/>
        <v>0.16879445156160269</v>
      </c>
      <c r="H112" s="43">
        <f t="shared" si="360"/>
        <v>0.16314614459900395</v>
      </c>
      <c r="I112" s="43">
        <f t="shared" si="360"/>
        <v>0.16278677462887989</v>
      </c>
      <c r="J112" s="43">
        <f t="shared" si="360"/>
        <v>0.164465986963062</v>
      </c>
      <c r="K112" s="43">
        <f t="shared" si="360"/>
        <v>0.1644087640073591</v>
      </c>
      <c r="L112" s="1021">
        <f t="shared" si="360"/>
        <v>0.16370767089781976</v>
      </c>
      <c r="M112" s="43">
        <f t="shared" si="360"/>
        <v>0.16355298913043478</v>
      </c>
      <c r="N112" s="43">
        <f t="shared" si="360"/>
        <v>0.16236722306525037</v>
      </c>
      <c r="O112" s="43">
        <f t="shared" si="360"/>
        <v>0.16362732095490717</v>
      </c>
      <c r="P112" s="43">
        <f t="shared" si="360"/>
        <v>0.16138137140959655</v>
      </c>
      <c r="Q112" s="1021">
        <f t="shared" si="360"/>
        <v>0.16272932897712994</v>
      </c>
      <c r="R112" s="43">
        <f t="shared" si="360"/>
        <v>0.16234743353954187</v>
      </c>
      <c r="S112" s="43">
        <f t="shared" si="360"/>
        <v>0.163013021262568</v>
      </c>
      <c r="T112" s="43">
        <f t="shared" si="360"/>
        <v>0.16298920921243357</v>
      </c>
      <c r="U112" s="43">
        <f t="shared" si="360"/>
        <v>0.16138282619085551</v>
      </c>
      <c r="V112" s="1021">
        <f t="shared" si="360"/>
        <v>0.1624276514225157</v>
      </c>
      <c r="W112" s="43">
        <f t="shared" si="360"/>
        <v>0.16221898754649847</v>
      </c>
      <c r="X112" s="43">
        <f t="shared" si="360"/>
        <v>0.16249409541804441</v>
      </c>
      <c r="Y112" s="43">
        <f t="shared" si="360"/>
        <v>0.16234861260156369</v>
      </c>
      <c r="Z112" s="43">
        <f t="shared" si="360"/>
        <v>0.16178690009055238</v>
      </c>
      <c r="AA112" s="1021">
        <f t="shared" si="360"/>
        <v>0.16220846474321535</v>
      </c>
      <c r="AB112" s="43">
        <f t="shared" si="360"/>
        <v>0.16230686859415633</v>
      </c>
      <c r="AC112" s="43">
        <f t="shared" si="360"/>
        <v>0.16146377893950709</v>
      </c>
      <c r="AD112" s="43">
        <f t="shared" si="360"/>
        <v>0.16230746875908167</v>
      </c>
      <c r="AE112" s="43">
        <f t="shared" si="360"/>
        <v>0.16155507559395249</v>
      </c>
      <c r="AF112" s="1021">
        <f t="shared" si="360"/>
        <v>0.16190546583391849</v>
      </c>
      <c r="AG112" s="43">
        <f t="shared" si="360"/>
        <v>0.16294675419401897</v>
      </c>
      <c r="AH112" s="43">
        <f t="shared" si="360"/>
        <v>0.16227819118488837</v>
      </c>
      <c r="AI112" s="43">
        <f t="shared" si="360"/>
        <v>0.16283604958907927</v>
      </c>
      <c r="AJ112" s="43">
        <f t="shared" si="360"/>
        <v>0.16289655172413794</v>
      </c>
      <c r="AK112" s="1021">
        <f t="shared" si="360"/>
        <v>0.1627405206564799</v>
      </c>
      <c r="AL112" s="43">
        <f t="shared" si="360"/>
        <v>0.16295476552773552</v>
      </c>
      <c r="AM112" s="43">
        <f t="shared" si="360"/>
        <v>0.16865564342199857</v>
      </c>
      <c r="AN112" s="43">
        <f t="shared" si="360"/>
        <v>0.16355013550135503</v>
      </c>
      <c r="AO112" s="43">
        <f t="shared" si="360"/>
        <v>0.16243315508021391</v>
      </c>
      <c r="AP112" s="1021">
        <f t="shared" si="360"/>
        <v>0.16433686819997245</v>
      </c>
      <c r="AQ112" s="43">
        <f t="shared" si="360"/>
        <v>0.16341727592743027</v>
      </c>
      <c r="AR112" s="43">
        <f t="shared" si="360"/>
        <v>0.16465336134453781</v>
      </c>
      <c r="AS112" s="43">
        <f t="shared" si="353"/>
        <v>0.16362242942904587</v>
      </c>
      <c r="AT112" s="43">
        <f t="shared" si="353"/>
        <v>0.16213858424725822</v>
      </c>
      <c r="AU112" s="1021">
        <f t="shared" si="353"/>
        <v>0.16344190568789499</v>
      </c>
      <c r="AV112" s="43">
        <f t="shared" si="354"/>
        <v>0.16346393810831045</v>
      </c>
      <c r="AW112" s="43">
        <f t="shared" si="354"/>
        <v>0.16412167848984008</v>
      </c>
      <c r="AX112" s="43">
        <f t="shared" si="355"/>
        <v>0.16320371445153803</v>
      </c>
      <c r="AY112" s="43">
        <f t="shared" si="355"/>
        <v>0.16264035386185777</v>
      </c>
      <c r="AZ112" s="1021">
        <f t="shared" si="355"/>
        <v>0.16334448952995884</v>
      </c>
      <c r="BA112" s="43">
        <f t="shared" si="356"/>
        <v>0.16512310819968376</v>
      </c>
      <c r="BB112" s="43">
        <f t="shared" si="356"/>
        <v>0.1648220486111111</v>
      </c>
      <c r="BC112" s="43">
        <f t="shared" si="357"/>
        <v>0.16505453797077588</v>
      </c>
      <c r="BD112" s="43">
        <f t="shared" si="357"/>
        <v>0.16454426952772486</v>
      </c>
      <c r="BE112" s="1021">
        <f t="shared" si="357"/>
        <v>0.16487910807446837</v>
      </c>
      <c r="BF112" s="43">
        <f t="shared" si="358"/>
        <v>0.16768714201066562</v>
      </c>
      <c r="BG112" s="43">
        <f t="shared" si="358"/>
        <v>0.16381919359562627</v>
      </c>
      <c r="BH112" s="758">
        <f>BH62/BH39</f>
        <v>0.16722720478325859</v>
      </c>
      <c r="BI112" s="460">
        <f>BI62/BI39</f>
        <v>0.1578453214133663</v>
      </c>
      <c r="BJ112" s="1018">
        <f>BJ62/BJ39</f>
        <v>0.16417727680438249</v>
      </c>
      <c r="BK112" s="460">
        <f>BK62/BK39</f>
        <v>0.16465164168773846</v>
      </c>
      <c r="BL112" s="460">
        <f>BL62/BL39</f>
        <v>0.16440367104071715</v>
      </c>
      <c r="BM112" s="460">
        <f>BM62/BM39</f>
        <v>0.16437666593477518</v>
      </c>
      <c r="BN112" s="460">
        <f>BN62/BN39</f>
        <v>0.15775412048393528</v>
      </c>
      <c r="BO112" s="1018">
        <f>BO62/BO39</f>
        <v>0.16288196257458376</v>
      </c>
      <c r="BP112" s="1018">
        <f>BP62/BP39</f>
        <v>0.16332350791360062</v>
      </c>
      <c r="BQ112" s="1018">
        <f>BQ62/BQ39</f>
        <v>0.15674071390590988</v>
      </c>
      <c r="BR112" s="1018">
        <f>BR62/BR39</f>
        <v>0.16330167658730887</v>
      </c>
      <c r="BS112" s="43"/>
    </row>
    <row r="113" spans="1:71" s="28" customFormat="1" ht="15">
      <c r="A113" s="458"/>
      <c r="B113" s="459"/>
      <c r="C113" s="990"/>
      <c r="D113" s="1018"/>
      <c r="E113" s="1018"/>
      <c r="F113" s="1018"/>
      <c r="G113" s="1018"/>
      <c r="H113" s="460"/>
      <c r="I113" s="460"/>
      <c r="J113" s="460"/>
      <c r="K113" s="460"/>
      <c r="L113" s="1018"/>
      <c r="M113" s="460"/>
      <c r="N113" s="460"/>
      <c r="O113" s="460"/>
      <c r="P113" s="460"/>
      <c r="Q113" s="1018"/>
      <c r="R113" s="460"/>
      <c r="S113" s="460"/>
      <c r="T113" s="460"/>
      <c r="U113" s="460"/>
      <c r="V113" s="1018"/>
      <c r="W113" s="460"/>
      <c r="X113" s="460"/>
      <c r="Y113" s="460"/>
      <c r="Z113" s="460"/>
      <c r="AA113" s="1018"/>
      <c r="AB113" s="460"/>
      <c r="AC113" s="460"/>
      <c r="AD113" s="460"/>
      <c r="AE113" s="460"/>
      <c r="AF113" s="1018"/>
      <c r="AG113" s="460"/>
      <c r="AH113" s="460"/>
      <c r="AI113" s="460"/>
      <c r="AJ113" s="460"/>
      <c r="AK113" s="1018"/>
      <c r="AL113" s="460"/>
      <c r="AM113" s="460"/>
      <c r="AN113" s="460"/>
      <c r="AO113" s="460"/>
      <c r="AP113" s="1018"/>
      <c r="AQ113" s="460"/>
      <c r="AR113" s="460"/>
      <c r="AS113" s="460"/>
      <c r="AT113" s="460"/>
      <c r="AU113" s="1018"/>
      <c r="AV113" s="460"/>
      <c r="AW113" s="460"/>
      <c r="AX113" s="460"/>
      <c r="AY113" s="460"/>
      <c r="AZ113" s="1018"/>
      <c r="BA113" s="460"/>
      <c r="BB113" s="460"/>
      <c r="BC113" s="460"/>
      <c r="BD113" s="460"/>
      <c r="BE113" s="1018"/>
      <c r="BF113" s="460"/>
      <c r="BG113" s="460"/>
      <c r="BH113" s="757"/>
      <c r="BI113" s="460"/>
      <c r="BJ113" s="1018"/>
      <c r="BK113" s="460"/>
      <c r="BL113" s="460"/>
      <c r="BM113" s="460"/>
      <c r="BN113" s="460"/>
      <c r="BO113" s="1018"/>
      <c r="BP113" s="1018"/>
      <c r="BQ113" s="1018"/>
      <c r="BR113" s="1018"/>
      <c r="BS113" s="43"/>
    </row>
    <row r="114" spans="1:71" s="27" customFormat="1" ht="15">
      <c r="A114" s="256" t="s">
        <v>73</v>
      </c>
      <c r="B114" s="434"/>
      <c r="C114" s="983">
        <f t="shared" si="361" ref="C114:AR114">C64/C36</f>
        <v>0.17924872355944566</v>
      </c>
      <c r="D114" s="983">
        <f t="shared" si="361"/>
        <v>0.17685305591677503</v>
      </c>
      <c r="E114" s="983">
        <f t="shared" si="361"/>
        <v>0.17162532003178246</v>
      </c>
      <c r="F114" s="983">
        <f t="shared" si="361"/>
        <v>0.17278248225130441</v>
      </c>
      <c r="G114" s="983">
        <f t="shared" si="361"/>
        <v>0.1776927692769277</v>
      </c>
      <c r="H114" s="71">
        <f t="shared" si="361"/>
        <v>0.15570545250140527</v>
      </c>
      <c r="I114" s="71">
        <f t="shared" si="361"/>
        <v>0.17984026438997522</v>
      </c>
      <c r="J114" s="71">
        <f t="shared" si="361"/>
        <v>0.18060109289617488</v>
      </c>
      <c r="K114" s="71">
        <f t="shared" si="361"/>
        <v>0.18372918372918373</v>
      </c>
      <c r="L114" s="983">
        <f t="shared" si="361"/>
        <v>0.17509647188533628</v>
      </c>
      <c r="M114" s="71">
        <f t="shared" si="361"/>
        <v>0.18066298342541437</v>
      </c>
      <c r="N114" s="71">
        <f t="shared" si="361"/>
        <v>0.18675533388750346</v>
      </c>
      <c r="O114" s="71">
        <f t="shared" si="361"/>
        <v>0.1847796331782097</v>
      </c>
      <c r="P114" s="71">
        <f t="shared" si="361"/>
        <v>0.18768892552899147</v>
      </c>
      <c r="Q114" s="983">
        <f t="shared" si="361"/>
        <v>0.18497348667447144</v>
      </c>
      <c r="R114" s="71">
        <f t="shared" si="361"/>
        <v>0.18014059753954306</v>
      </c>
      <c r="S114" s="71">
        <f t="shared" si="361"/>
        <v>0.18871765047979064</v>
      </c>
      <c r="T114" s="71">
        <f t="shared" si="361"/>
        <v>0.18587360594795538</v>
      </c>
      <c r="U114" s="71">
        <f t="shared" si="361"/>
        <v>0.18259629101283881</v>
      </c>
      <c r="V114" s="983">
        <f t="shared" si="361"/>
        <v>0.18433778419343197</v>
      </c>
      <c r="W114" s="71">
        <f t="shared" si="361"/>
        <v>0.1778944298629338</v>
      </c>
      <c r="X114" s="71">
        <f t="shared" si="361"/>
        <v>0.1815068493150685</v>
      </c>
      <c r="Y114" s="71">
        <f t="shared" si="361"/>
        <v>0.17980984340044742</v>
      </c>
      <c r="Z114" s="71">
        <f t="shared" si="361"/>
        <v>0.18531756942535058</v>
      </c>
      <c r="AA114" s="983">
        <f t="shared" si="361"/>
        <v>0.18118195956454122</v>
      </c>
      <c r="AB114" s="71">
        <f t="shared" si="361"/>
        <v>0.18217488789237668</v>
      </c>
      <c r="AC114" s="71">
        <f t="shared" si="361"/>
        <v>0.1851139796759132</v>
      </c>
      <c r="AD114" s="71">
        <f t="shared" si="361"/>
        <v>0.17312316323804436</v>
      </c>
      <c r="AE114" s="71">
        <f t="shared" si="361"/>
        <v>0.17267904509283818</v>
      </c>
      <c r="AF114" s="983">
        <f t="shared" si="361"/>
        <v>0.17816872707512565</v>
      </c>
      <c r="AG114" s="71">
        <f t="shared" si="361"/>
        <v>0.16889363976483165</v>
      </c>
      <c r="AH114" s="71">
        <f t="shared" si="361"/>
        <v>0.18133756278086174</v>
      </c>
      <c r="AI114" s="71">
        <f t="shared" si="361"/>
        <v>0.16924265842349304</v>
      </c>
      <c r="AJ114" s="71">
        <f t="shared" si="361"/>
        <v>0.16748009247367068</v>
      </c>
      <c r="AK114" s="983">
        <f t="shared" si="361"/>
        <v>0.17169934640522877</v>
      </c>
      <c r="AL114" s="71">
        <f t="shared" si="361"/>
        <v>0.17727743271221533</v>
      </c>
      <c r="AM114" s="71">
        <f t="shared" si="361"/>
        <v>0.17563587684069612</v>
      </c>
      <c r="AN114" s="71">
        <f t="shared" si="361"/>
        <v>0.16948711273105962</v>
      </c>
      <c r="AO114" s="71">
        <f t="shared" si="361"/>
        <v>0.1743642968344577</v>
      </c>
      <c r="AP114" s="983">
        <f t="shared" si="361"/>
        <v>0.17418595527657904</v>
      </c>
      <c r="AQ114" s="71">
        <f t="shared" si="361"/>
        <v>0.17978415372466439</v>
      </c>
      <c r="AR114" s="71">
        <f t="shared" si="361"/>
        <v>0.17731958762886599</v>
      </c>
      <c r="AS114" s="71">
        <f t="shared" si="362" ref="AS114:AU117">AS64/AS36</f>
        <v>0.17229219143576827</v>
      </c>
      <c r="AT114" s="71">
        <f t="shared" si="362"/>
        <v>0.16915544675642594</v>
      </c>
      <c r="AU114" s="983">
        <f t="shared" si="362"/>
        <v>0.17452650311427481</v>
      </c>
      <c r="AV114" s="71">
        <f t="shared" si="363" ref="AV114:AW117">AV64/AV36</f>
        <v>0.17121100466715794</v>
      </c>
      <c r="AW114" s="71">
        <f t="shared" si="363"/>
        <v>0.16927453769559034</v>
      </c>
      <c r="AX114" s="71">
        <f t="shared" si="364" ref="AX114:AZ117">AX64/AX36</f>
        <v>0.16172754422237537</v>
      </c>
      <c r="AY114" s="71">
        <f t="shared" si="364"/>
        <v>0.15989220750056141</v>
      </c>
      <c r="AZ114" s="983">
        <f t="shared" si="364"/>
        <v>0.16536999122550453</v>
      </c>
      <c r="BA114" s="71">
        <f t="shared" si="365" ref="BA114:BB117">BA64/BA36</f>
        <v>0.16394907303998213</v>
      </c>
      <c r="BB114" s="71">
        <f t="shared" si="365"/>
        <v>0.16451335055986219</v>
      </c>
      <c r="BC114" s="71">
        <f t="shared" si="366" ref="BC114:BE117">BC64/BC36</f>
        <v>0.15577078288942695</v>
      </c>
      <c r="BD114" s="71">
        <f t="shared" si="366"/>
        <v>0.15216104203670811</v>
      </c>
      <c r="BE114" s="983">
        <f t="shared" si="366"/>
        <v>0.1588487254492269</v>
      </c>
      <c r="BF114" s="71">
        <f t="shared" si="367" ref="BF114:BG117">BF64/BF36</f>
        <v>0.15852713178294572</v>
      </c>
      <c r="BG114" s="71">
        <f t="shared" si="367"/>
        <v>0.16157120743034056</v>
      </c>
      <c r="BH114" s="740">
        <f>BH64/BH36</f>
        <v>0.15089514066496162</v>
      </c>
      <c r="BI114" s="907">
        <v>0.17</v>
      </c>
      <c r="BJ114" s="982">
        <f>BJ64/BJ36</f>
        <v>0.16008760402594527</v>
      </c>
      <c r="BK114" s="907">
        <v>0.17</v>
      </c>
      <c r="BL114" s="907">
        <v>0.175</v>
      </c>
      <c r="BM114" s="907">
        <v>0.175</v>
      </c>
      <c r="BN114" s="907">
        <v>0.17</v>
      </c>
      <c r="BO114" s="982">
        <f>BO64/BO36</f>
        <v>0.17254827883218937</v>
      </c>
      <c r="BP114" s="984">
        <v>0.175</v>
      </c>
      <c r="BQ114" s="984">
        <v>0.175</v>
      </c>
      <c r="BR114" s="984">
        <v>0.175</v>
      </c>
      <c r="BS114" s="71"/>
    </row>
    <row r="115" spans="1:71" s="27" customFormat="1" ht="15">
      <c r="A115" s="256" t="s">
        <v>74</v>
      </c>
      <c r="B115" s="434"/>
      <c r="C115" s="983">
        <f t="shared" si="368" ref="C115:AR115">C65/C37</f>
        <v>0.17371737173717372</v>
      </c>
      <c r="D115" s="983">
        <f t="shared" si="368"/>
        <v>0.18329816098884535</v>
      </c>
      <c r="E115" s="983">
        <f t="shared" si="368"/>
        <v>0.20415879017013233</v>
      </c>
      <c r="F115" s="983">
        <f t="shared" si="368"/>
        <v>0.21904761904761905</v>
      </c>
      <c r="G115" s="983">
        <f t="shared" si="368"/>
        <v>0.19586067642604746</v>
      </c>
      <c r="H115" s="71">
        <f t="shared" si="368"/>
        <v>0.19284294234592445</v>
      </c>
      <c r="I115" s="71">
        <f t="shared" si="368"/>
        <v>0.19465648854961831</v>
      </c>
      <c r="J115" s="71">
        <f t="shared" si="368"/>
        <v>0.19165085388994307</v>
      </c>
      <c r="K115" s="71">
        <f t="shared" si="368"/>
        <v>0.19731800766283525</v>
      </c>
      <c r="L115" s="983">
        <f t="shared" si="368"/>
        <v>0.19412331406551059</v>
      </c>
      <c r="M115" s="71">
        <f t="shared" si="368"/>
        <v>0.1984126984126984</v>
      </c>
      <c r="N115" s="71">
        <f t="shared" si="368"/>
        <v>0.18893129770992367</v>
      </c>
      <c r="O115" s="71">
        <f t="shared" si="368"/>
        <v>0.17254174397031541</v>
      </c>
      <c r="P115" s="71">
        <f t="shared" si="368"/>
        <v>0.18725868725868725</v>
      </c>
      <c r="Q115" s="983">
        <f t="shared" si="368"/>
        <v>0.18657074340527577</v>
      </c>
      <c r="R115" s="71">
        <f t="shared" si="368"/>
        <v>0.19384057971014493</v>
      </c>
      <c r="S115" s="71">
        <f t="shared" si="368"/>
        <v>0.19499105545617174</v>
      </c>
      <c r="T115" s="71">
        <f t="shared" si="368"/>
        <v>0.19546247818499127</v>
      </c>
      <c r="U115" s="71">
        <f t="shared" si="368"/>
        <v>0.203125</v>
      </c>
      <c r="V115" s="983">
        <f t="shared" si="368"/>
        <v>0.19690265486725664</v>
      </c>
      <c r="W115" s="71">
        <f t="shared" si="368"/>
        <v>0.20360360360360361</v>
      </c>
      <c r="X115" s="71">
        <f t="shared" si="368"/>
        <v>0.20173913043478262</v>
      </c>
      <c r="Y115" s="71">
        <f t="shared" si="368"/>
        <v>0.19458544839255498</v>
      </c>
      <c r="Z115" s="71">
        <f t="shared" si="368"/>
        <v>0.20477815699658702</v>
      </c>
      <c r="AA115" s="983">
        <f t="shared" si="368"/>
        <v>0.20112700476809708</v>
      </c>
      <c r="AB115" s="71">
        <f t="shared" si="368"/>
        <v>0.19759450171821305</v>
      </c>
      <c r="AC115" s="71">
        <f t="shared" si="368"/>
        <v>0.1930116472545757</v>
      </c>
      <c r="AD115" s="71">
        <f t="shared" si="368"/>
        <v>0.18314424635332252</v>
      </c>
      <c r="AE115" s="71">
        <f t="shared" si="368"/>
        <v>0.18548387096774194</v>
      </c>
      <c r="AF115" s="983">
        <f t="shared" si="368"/>
        <v>0.1896694214876033</v>
      </c>
      <c r="AG115" s="71">
        <f t="shared" si="368"/>
        <v>0.19306930693069307</v>
      </c>
      <c r="AH115" s="71">
        <f t="shared" si="368"/>
        <v>0.189873417721519</v>
      </c>
      <c r="AI115" s="71">
        <f t="shared" si="368"/>
        <v>0.18989280245022971</v>
      </c>
      <c r="AJ115" s="71">
        <f t="shared" si="368"/>
        <v>0.18100890207715134</v>
      </c>
      <c r="AK115" s="983">
        <f t="shared" si="368"/>
        <v>0.18830409356725147</v>
      </c>
      <c r="AL115" s="71">
        <f t="shared" si="368"/>
        <v>0.1874062968515742</v>
      </c>
      <c r="AM115" s="71">
        <f t="shared" si="368"/>
        <v>0.1774891774891775</v>
      </c>
      <c r="AN115" s="71">
        <f t="shared" si="368"/>
        <v>0.1715076071922545</v>
      </c>
      <c r="AO115" s="71">
        <f t="shared" si="368"/>
        <v>0.17297297297297298</v>
      </c>
      <c r="AP115" s="983">
        <f t="shared" si="368"/>
        <v>0.17711654268508678</v>
      </c>
      <c r="AQ115" s="71">
        <f t="shared" si="368"/>
        <v>0.17496635262449528</v>
      </c>
      <c r="AR115" s="71">
        <f t="shared" si="368"/>
        <v>0.17396907216494845</v>
      </c>
      <c r="AS115" s="71">
        <f t="shared" si="362"/>
        <v>0.16749379652605459</v>
      </c>
      <c r="AT115" s="71">
        <f t="shared" si="362"/>
        <v>0.16236162361623616</v>
      </c>
      <c r="AU115" s="983">
        <f t="shared" si="362"/>
        <v>0.16953473550031867</v>
      </c>
      <c r="AV115" s="71">
        <f t="shared" si="363"/>
        <v>0.17195121951219511</v>
      </c>
      <c r="AW115" s="71">
        <f t="shared" si="363"/>
        <v>0.17391304347826086</v>
      </c>
      <c r="AX115" s="71">
        <f t="shared" si="364"/>
        <v>0.16875712656784492</v>
      </c>
      <c r="AY115" s="71">
        <f t="shared" si="364"/>
        <v>0.17586206896551723</v>
      </c>
      <c r="AZ115" s="983">
        <f t="shared" si="364"/>
        <v>0.17261556465769456</v>
      </c>
      <c r="BA115" s="71">
        <f t="shared" si="365"/>
        <v>0.18857142857142858</v>
      </c>
      <c r="BB115" s="71">
        <f t="shared" si="365"/>
        <v>0.18990120746432493</v>
      </c>
      <c r="BC115" s="71">
        <f t="shared" si="366"/>
        <v>0.1839572192513369</v>
      </c>
      <c r="BD115" s="71">
        <f t="shared" si="366"/>
        <v>0.18308351177730192</v>
      </c>
      <c r="BE115" s="983">
        <f t="shared" si="366"/>
        <v>0.1863201094391245</v>
      </c>
      <c r="BF115" s="71">
        <f t="shared" si="367"/>
        <v>0.21443514644351463</v>
      </c>
      <c r="BG115" s="71">
        <f t="shared" si="367"/>
        <v>0.21187308085977483</v>
      </c>
      <c r="BH115" s="740">
        <f>BH65/BH37</f>
        <v>0.20118929633300298</v>
      </c>
      <c r="BI115" s="907">
        <v>0.17</v>
      </c>
      <c r="BJ115" s="982">
        <f>BJ65/BJ37</f>
        <v>0.19943933255071425</v>
      </c>
      <c r="BK115" s="907">
        <v>0.17</v>
      </c>
      <c r="BL115" s="907">
        <v>0.18</v>
      </c>
      <c r="BM115" s="907">
        <v>0.18</v>
      </c>
      <c r="BN115" s="907">
        <v>0.17</v>
      </c>
      <c r="BO115" s="982">
        <f>BO65/BO37</f>
        <v>0.17513924391228308</v>
      </c>
      <c r="BP115" s="984">
        <v>0.18</v>
      </c>
      <c r="BQ115" s="984">
        <v>0.18</v>
      </c>
      <c r="BR115" s="984">
        <v>0.18</v>
      </c>
      <c r="BS115" s="71"/>
    </row>
    <row r="116" spans="1:71" s="27" customFormat="1" ht="15">
      <c r="A116" s="332" t="s">
        <v>75</v>
      </c>
      <c r="B116" s="436"/>
      <c r="C116" s="986">
        <f t="shared" si="369" ref="C116:AR116">C66/C38</f>
        <v>0.11015877476464803</v>
      </c>
      <c r="D116" s="986">
        <f t="shared" si="369"/>
        <v>0.11797523472581303</v>
      </c>
      <c r="E116" s="986">
        <f t="shared" si="369"/>
        <v>0.11964685729345105</v>
      </c>
      <c r="F116" s="986">
        <f t="shared" si="369"/>
        <v>0.11809473822333028</v>
      </c>
      <c r="G116" s="986">
        <f t="shared" si="369"/>
        <v>0.13380666302566904</v>
      </c>
      <c r="H116" s="322">
        <f t="shared" si="369"/>
        <v>0.12656072644721908</v>
      </c>
      <c r="I116" s="322">
        <f t="shared" si="369"/>
        <v>0.13367174280879865</v>
      </c>
      <c r="J116" s="322">
        <f t="shared" si="369"/>
        <v>0.14643652561247217</v>
      </c>
      <c r="K116" s="322">
        <f t="shared" si="369"/>
        <v>0.14158305462653289</v>
      </c>
      <c r="L116" s="986">
        <f t="shared" si="369"/>
        <v>0.13712280701754387</v>
      </c>
      <c r="M116" s="322">
        <f t="shared" si="369"/>
        <v>0.1326530612244898</v>
      </c>
      <c r="N116" s="322">
        <f t="shared" si="369"/>
        <v>0.14015572858731926</v>
      </c>
      <c r="O116" s="322">
        <f t="shared" si="369"/>
        <v>0.13695652173913042</v>
      </c>
      <c r="P116" s="322">
        <f t="shared" si="369"/>
        <v>0.13397642015005359</v>
      </c>
      <c r="Q116" s="986">
        <f t="shared" si="369"/>
        <v>0.13593835993395706</v>
      </c>
      <c r="R116" s="322">
        <f t="shared" si="369"/>
        <v>0.13151364764267989</v>
      </c>
      <c r="S116" s="322">
        <f t="shared" si="369"/>
        <v>0.13968100531657807</v>
      </c>
      <c r="T116" s="322">
        <f t="shared" si="369"/>
        <v>0.13417484805984103</v>
      </c>
      <c r="U116" s="322">
        <f t="shared" si="369"/>
        <v>0.12887067395264118</v>
      </c>
      <c r="V116" s="986">
        <f t="shared" si="369"/>
        <v>0.13350754246347546</v>
      </c>
      <c r="W116" s="322">
        <f t="shared" si="369"/>
        <v>0.12050932241928149</v>
      </c>
      <c r="X116" s="322">
        <f t="shared" si="369"/>
        <v>0.12544014084507044</v>
      </c>
      <c r="Y116" s="322">
        <f t="shared" si="369"/>
        <v>0.11884550084889643</v>
      </c>
      <c r="Z116" s="322">
        <f t="shared" si="369"/>
        <v>0.1169371618809821</v>
      </c>
      <c r="AA116" s="986">
        <f t="shared" si="369"/>
        <v>0.12036836403033586</v>
      </c>
      <c r="AB116" s="322">
        <f t="shared" si="369"/>
        <v>0.12065354000837872</v>
      </c>
      <c r="AC116" s="322">
        <f t="shared" si="369"/>
        <v>0.12882185079494496</v>
      </c>
      <c r="AD116" s="322">
        <f t="shared" si="369"/>
        <v>0.11498810467882632</v>
      </c>
      <c r="AE116" s="322">
        <f t="shared" si="369"/>
        <v>0.11389432485322896</v>
      </c>
      <c r="AF116" s="986">
        <f t="shared" si="369"/>
        <v>0.11949178178884744</v>
      </c>
      <c r="AG116" s="322">
        <f t="shared" si="369"/>
        <v>0.11966493817311527</v>
      </c>
      <c r="AH116" s="322">
        <f t="shared" si="369"/>
        <v>0.12087057909055578</v>
      </c>
      <c r="AI116" s="322">
        <f t="shared" si="369"/>
        <v>0.11686838124054463</v>
      </c>
      <c r="AJ116" s="322">
        <f t="shared" si="369"/>
        <v>0.11181513231457324</v>
      </c>
      <c r="AK116" s="986">
        <f t="shared" si="369"/>
        <v>0.11722878831555683</v>
      </c>
      <c r="AL116" s="322">
        <f t="shared" si="369"/>
        <v>0.11860637509266123</v>
      </c>
      <c r="AM116" s="322">
        <f t="shared" si="369"/>
        <v>0.13177681044717054</v>
      </c>
      <c r="AN116" s="322">
        <f t="shared" si="369"/>
        <v>0.11647727272727272</v>
      </c>
      <c r="AO116" s="322">
        <f t="shared" si="369"/>
        <v>0.11538461538461539</v>
      </c>
      <c r="AP116" s="986">
        <f t="shared" si="369"/>
        <v>0.12025258533906837</v>
      </c>
      <c r="AQ116" s="322">
        <f t="shared" si="369"/>
        <v>0.1209563994374121</v>
      </c>
      <c r="AR116" s="322">
        <f t="shared" si="369"/>
        <v>0.11587837837837837</v>
      </c>
      <c r="AS116" s="322">
        <f t="shared" si="362"/>
        <v>0.11791680314444808</v>
      </c>
      <c r="AT116" s="322">
        <f t="shared" si="362"/>
        <v>0.10332693538067818</v>
      </c>
      <c r="AU116" s="986">
        <f t="shared" si="362"/>
        <v>0.11432863222899108</v>
      </c>
      <c r="AV116" s="322">
        <f t="shared" si="363"/>
        <v>0.11047070124879924</v>
      </c>
      <c r="AW116" s="322">
        <f t="shared" si="363"/>
        <v>0.10837438423645321</v>
      </c>
      <c r="AX116" s="322">
        <f t="shared" si="364"/>
        <v>0.098375184638109306</v>
      </c>
      <c r="AY116" s="322">
        <f t="shared" si="364"/>
        <v>0.09502003434459072</v>
      </c>
      <c r="AZ116" s="986">
        <f t="shared" si="364"/>
        <v>0.10279245283018867</v>
      </c>
      <c r="BA116" s="322">
        <f t="shared" si="365"/>
        <v>0.10251284980011421</v>
      </c>
      <c r="BB116" s="322">
        <f t="shared" si="365"/>
        <v>0.098606937995083313</v>
      </c>
      <c r="BC116" s="322">
        <f t="shared" si="366"/>
        <v>0.093807159655082309</v>
      </c>
      <c r="BD116" s="322">
        <f t="shared" si="366"/>
        <v>0.085095669687814707</v>
      </c>
      <c r="BE116" s="986">
        <f t="shared" si="366"/>
        <v>0.094706590028071108</v>
      </c>
      <c r="BF116" s="322">
        <f t="shared" si="367"/>
        <v>0.093516209476309231</v>
      </c>
      <c r="BG116" s="322">
        <f t="shared" si="367"/>
        <v>0.10346510492923378</v>
      </c>
      <c r="BH116" s="741">
        <f>BH66/BH38</f>
        <v>0.09950248756218906</v>
      </c>
      <c r="BI116" s="909">
        <v>0.11</v>
      </c>
      <c r="BJ116" s="985">
        <f>BJ66/BJ38</f>
        <v>0.10165697520659774</v>
      </c>
      <c r="BK116" s="909">
        <v>0.11</v>
      </c>
      <c r="BL116" s="909">
        <v>0.12</v>
      </c>
      <c r="BM116" s="909">
        <v>0.12</v>
      </c>
      <c r="BN116" s="909">
        <v>0.11</v>
      </c>
      <c r="BO116" s="985">
        <f>BO66/BO38</f>
        <v>0.11540466942905327</v>
      </c>
      <c r="BP116" s="987">
        <v>0.12</v>
      </c>
      <c r="BQ116" s="987">
        <v>0.12</v>
      </c>
      <c r="BR116" s="987">
        <v>0.12</v>
      </c>
      <c r="BS116" s="71"/>
    </row>
    <row r="117" spans="1:71" s="28" customFormat="1" ht="15">
      <c r="A117" s="180" t="s">
        <v>76</v>
      </c>
      <c r="B117" s="455"/>
      <c r="C117" s="989">
        <f t="shared" si="370" ref="C117:AR117">C67/C39</f>
        <v>0.15543001213932206</v>
      </c>
      <c r="D117" s="1012">
        <f t="shared" si="370"/>
        <v>0.1576614408361329</v>
      </c>
      <c r="E117" s="1012">
        <f t="shared" si="370"/>
        <v>0.15844273426889996</v>
      </c>
      <c r="F117" s="1012">
        <f t="shared" si="370"/>
        <v>0.16044191975667577</v>
      </c>
      <c r="G117" s="1012">
        <f t="shared" si="370"/>
        <v>0.16508371250607412</v>
      </c>
      <c r="H117" s="97">
        <f t="shared" si="370"/>
        <v>0.15009445303108362</v>
      </c>
      <c r="I117" s="97">
        <f t="shared" si="370"/>
        <v>0.16734143049932523</v>
      </c>
      <c r="J117" s="97">
        <f t="shared" si="370"/>
        <v>0.17131873641985626</v>
      </c>
      <c r="K117" s="97">
        <f t="shared" si="370"/>
        <v>0.17226961030272619</v>
      </c>
      <c r="L117" s="1012">
        <f t="shared" si="370"/>
        <v>0.16535233837979169</v>
      </c>
      <c r="M117" s="97">
        <f t="shared" si="370"/>
        <v>0.16779891304347827</v>
      </c>
      <c r="N117" s="97">
        <f t="shared" si="370"/>
        <v>0.17282077221379194</v>
      </c>
      <c r="O117" s="97">
        <f t="shared" si="370"/>
        <v>0.16909814323607428</v>
      </c>
      <c r="P117" s="97">
        <f t="shared" si="370"/>
        <v>0.17101112402457247</v>
      </c>
      <c r="Q117" s="1012">
        <f t="shared" si="370"/>
        <v>0.17018513864455057</v>
      </c>
      <c r="R117" s="97">
        <f t="shared" si="370"/>
        <v>0.16502257147634175</v>
      </c>
      <c r="S117" s="97">
        <f t="shared" si="370"/>
        <v>0.17257293555299161</v>
      </c>
      <c r="T117" s="97">
        <f t="shared" si="370"/>
        <v>0.1689483008535996</v>
      </c>
      <c r="U117" s="97">
        <f t="shared" si="370"/>
        <v>0.16568424406563645</v>
      </c>
      <c r="V117" s="1012">
        <f t="shared" si="370"/>
        <v>0.16805249857340834</v>
      </c>
      <c r="W117" s="97">
        <f t="shared" si="370"/>
        <v>0.15979298075367945</v>
      </c>
      <c r="X117" s="97">
        <f t="shared" si="370"/>
        <v>0.16328137301212409</v>
      </c>
      <c r="Y117" s="97">
        <f t="shared" si="370"/>
        <v>0.15912923501456386</v>
      </c>
      <c r="Z117" s="97">
        <f t="shared" si="370"/>
        <v>0.16223966193782072</v>
      </c>
      <c r="AA117" s="1012">
        <f t="shared" si="370"/>
        <v>0.16111824942569014</v>
      </c>
      <c r="AB117" s="97">
        <f t="shared" si="370"/>
        <v>0.16108306562643415</v>
      </c>
      <c r="AC117" s="97">
        <f t="shared" si="370"/>
        <v>0.16519790888722927</v>
      </c>
      <c r="AD117" s="97">
        <f t="shared" si="370"/>
        <v>0.15271723336239465</v>
      </c>
      <c r="AE117" s="97">
        <f t="shared" si="370"/>
        <v>0.15219582433405326</v>
      </c>
      <c r="AF117" s="1012">
        <f t="shared" si="370"/>
        <v>0.15769244983184894</v>
      </c>
      <c r="AG117" s="97">
        <f t="shared" si="370"/>
        <v>0.15302698760029176</v>
      </c>
      <c r="AH117" s="97">
        <f t="shared" si="370"/>
        <v>0.15984544934172867</v>
      </c>
      <c r="AI117" s="97">
        <f t="shared" si="370"/>
        <v>0.15183173143891907</v>
      </c>
      <c r="AJ117" s="97">
        <f t="shared" si="370"/>
        <v>0.14813793103448275</v>
      </c>
      <c r="AK117" s="1012">
        <f t="shared" si="370"/>
        <v>0.15315506508205998</v>
      </c>
      <c r="AL117" s="97">
        <f t="shared" si="370"/>
        <v>0.1563148429934984</v>
      </c>
      <c r="AM117" s="97">
        <f t="shared" si="370"/>
        <v>0.15988497483824587</v>
      </c>
      <c r="AN117" s="97">
        <f t="shared" si="370"/>
        <v>0.1494579945799458</v>
      </c>
      <c r="AO117" s="97">
        <f t="shared" si="370"/>
        <v>0.15147058823529411</v>
      </c>
      <c r="AP117" s="1012">
        <f t="shared" si="370"/>
        <v>0.15417986503236469</v>
      </c>
      <c r="AQ117" s="97">
        <f t="shared" si="370"/>
        <v>0.15664771188735446</v>
      </c>
      <c r="AR117" s="97">
        <f t="shared" si="370"/>
        <v>0.15309873949579833</v>
      </c>
      <c r="AS117" s="97">
        <f t="shared" si="362"/>
        <v>0.15059394558692044</v>
      </c>
      <c r="AT117" s="97">
        <f t="shared" si="362"/>
        <v>0.14282153539381853</v>
      </c>
      <c r="AU117" s="1012">
        <f t="shared" si="362"/>
        <v>0.15064009074704263</v>
      </c>
      <c r="AV117" s="97">
        <f t="shared" si="363"/>
        <v>0.1476166708260544</v>
      </c>
      <c r="AW117" s="97">
        <f t="shared" si="363"/>
        <v>0.14596609354334494</v>
      </c>
      <c r="AX117" s="97">
        <f t="shared" si="364"/>
        <v>0.1375507835171213</v>
      </c>
      <c r="AY117" s="97">
        <f t="shared" si="364"/>
        <v>0.13576046274242939</v>
      </c>
      <c r="AZ117" s="1012">
        <f t="shared" si="364"/>
        <v>0.14154547877854456</v>
      </c>
      <c r="BA117" s="97">
        <f t="shared" si="365"/>
        <v>0.14208267449740231</v>
      </c>
      <c r="BB117" s="97">
        <f t="shared" si="365"/>
        <v>0.1408420138888889</v>
      </c>
      <c r="BC117" s="97">
        <f t="shared" si="366"/>
        <v>0.13408108664334226</v>
      </c>
      <c r="BD117" s="97">
        <f t="shared" si="366"/>
        <v>0.12834653564624487</v>
      </c>
      <c r="BE117" s="1012">
        <f t="shared" si="366"/>
        <v>0.13609279415269723</v>
      </c>
      <c r="BF117" s="97">
        <f t="shared" si="367"/>
        <v>0.13806043847521232</v>
      </c>
      <c r="BG117" s="97">
        <f t="shared" si="367"/>
        <v>0.14312213218783559</v>
      </c>
      <c r="BH117" s="750">
        <f>BH67/BH39</f>
        <v>0.13536995515695066</v>
      </c>
      <c r="BI117" s="648">
        <f>BI67/BI39</f>
        <v>0.14577108648012393</v>
      </c>
      <c r="BJ117" s="1013">
        <f>BJ67/BJ39</f>
        <v>0.14052310211305338</v>
      </c>
      <c r="BK117" s="648">
        <f>BK67/BK39</f>
        <v>0.1486771863323407</v>
      </c>
      <c r="BL117" s="648">
        <f>BL67/BL39</f>
        <v>0.15310283498579583</v>
      </c>
      <c r="BM117" s="648">
        <f>BM67/BM39</f>
        <v>0.15249301947460939</v>
      </c>
      <c r="BN117" s="648">
        <f>BN67/BN39</f>
        <v>0.14535525184928424</v>
      </c>
      <c r="BO117" s="1013">
        <f>BO67/BO39</f>
        <v>0.15004101792372956</v>
      </c>
      <c r="BP117" s="1013">
        <f>BP67/BP39</f>
        <v>0.15292088995792713</v>
      </c>
      <c r="BQ117" s="1013">
        <f>BQ67/BQ39</f>
        <v>0.15239551480269975</v>
      </c>
      <c r="BR117" s="1013">
        <f>BR67/BR39</f>
        <v>0.15186766263881152</v>
      </c>
      <c r="BS117" s="43"/>
    </row>
    <row r="118" spans="1:71" s="27" customFormat="1" ht="15">
      <c r="A118" s="442"/>
      <c r="B118" s="434"/>
      <c r="C118" s="982"/>
      <c r="D118" s="982"/>
      <c r="E118" s="982"/>
      <c r="F118" s="982"/>
      <c r="G118" s="982"/>
      <c r="H118" s="435"/>
      <c r="I118" s="435"/>
      <c r="J118" s="435"/>
      <c r="K118" s="435"/>
      <c r="L118" s="982"/>
      <c r="M118" s="435"/>
      <c r="N118" s="435"/>
      <c r="O118" s="435"/>
      <c r="P118" s="435"/>
      <c r="Q118" s="982"/>
      <c r="R118" s="435"/>
      <c r="S118" s="435"/>
      <c r="T118" s="435"/>
      <c r="U118" s="435"/>
      <c r="V118" s="982"/>
      <c r="W118" s="435"/>
      <c r="X118" s="435"/>
      <c r="Y118" s="435"/>
      <c r="Z118" s="435"/>
      <c r="AA118" s="982"/>
      <c r="AB118" s="435"/>
      <c r="AC118" s="435"/>
      <c r="AD118" s="435"/>
      <c r="AE118" s="435"/>
      <c r="AF118" s="982"/>
      <c r="AG118" s="435"/>
      <c r="AH118" s="435"/>
      <c r="AI118" s="435"/>
      <c r="AJ118" s="435"/>
      <c r="AK118" s="982"/>
      <c r="AL118" s="435"/>
      <c r="AM118" s="435"/>
      <c r="AN118" s="435"/>
      <c r="AO118" s="435"/>
      <c r="AP118" s="982"/>
      <c r="AQ118" s="435"/>
      <c r="AR118" s="435"/>
      <c r="AS118" s="435"/>
      <c r="AT118" s="435"/>
      <c r="AU118" s="982"/>
      <c r="AV118" s="435"/>
      <c r="AW118" s="435"/>
      <c r="AX118" s="435"/>
      <c r="AY118" s="435"/>
      <c r="AZ118" s="982"/>
      <c r="BA118" s="435"/>
      <c r="BB118" s="435"/>
      <c r="BC118" s="435"/>
      <c r="BD118" s="435"/>
      <c r="BE118" s="982"/>
      <c r="BF118" s="435"/>
      <c r="BG118" s="435"/>
      <c r="BH118" s="751"/>
      <c r="BI118" s="435"/>
      <c r="BJ118" s="982"/>
      <c r="BK118" s="435"/>
      <c r="BL118" s="435"/>
      <c r="BM118" s="435"/>
      <c r="BN118" s="435"/>
      <c r="BO118" s="982"/>
      <c r="BP118" s="982"/>
      <c r="BQ118" s="982"/>
      <c r="BR118" s="982"/>
      <c r="BS118" s="71"/>
    </row>
    <row r="119" spans="1:71" s="27" customFormat="1" ht="15">
      <c r="A119" s="41" t="s">
        <v>77</v>
      </c>
      <c r="B119" s="434"/>
      <c r="C119" s="983">
        <f t="shared" si="371" ref="C119:AH119">C69/C$36</f>
        <v>0.89150255288110869</v>
      </c>
      <c r="D119" s="983">
        <f t="shared" si="371"/>
        <v>0.94343302990897271</v>
      </c>
      <c r="E119" s="983">
        <f t="shared" si="371"/>
        <v>1.0776021894588153</v>
      </c>
      <c r="F119" s="983">
        <f t="shared" si="371"/>
        <v>1.0059875117611838</v>
      </c>
      <c r="G119" s="983">
        <f t="shared" si="371"/>
        <v>0.96099609960996102</v>
      </c>
      <c r="H119" s="71">
        <f t="shared" si="371"/>
        <v>0.92636312535132093</v>
      </c>
      <c r="I119" s="71">
        <f t="shared" si="371"/>
        <v>1.0156981547782979</v>
      </c>
      <c r="J119" s="71">
        <f t="shared" si="371"/>
        <v>0.98633879781420764</v>
      </c>
      <c r="K119" s="71">
        <f t="shared" si="371"/>
        <v>0.9317499317499317</v>
      </c>
      <c r="L119" s="983">
        <f t="shared" si="371"/>
        <v>0.96520121278941562</v>
      </c>
      <c r="M119" s="71">
        <f t="shared" si="371"/>
        <v>0.96767955801104977</v>
      </c>
      <c r="N119" s="71">
        <f t="shared" si="371"/>
        <v>0.9670268772513162</v>
      </c>
      <c r="O119" s="71">
        <f t="shared" si="371"/>
        <v>0.95620038324664658</v>
      </c>
      <c r="P119" s="71">
        <f t="shared" si="371"/>
        <v>0.93102500687001921</v>
      </c>
      <c r="Q119" s="983">
        <f t="shared" si="371"/>
        <v>0.95544383995592586</v>
      </c>
      <c r="R119" s="71">
        <f t="shared" si="371"/>
        <v>0.98828353837141181</v>
      </c>
      <c r="S119" s="71">
        <f t="shared" si="371"/>
        <v>1.0020354754289038</v>
      </c>
      <c r="T119" s="71">
        <f t="shared" si="371"/>
        <v>0.99714040606233911</v>
      </c>
      <c r="U119" s="71">
        <f t="shared" si="371"/>
        <v>0.91897289586305275</v>
      </c>
      <c r="V119" s="983">
        <f t="shared" si="371"/>
        <v>0.97639841212558642</v>
      </c>
      <c r="W119" s="71">
        <f t="shared" si="371"/>
        <v>1</v>
      </c>
      <c r="X119" s="71">
        <f t="shared" si="371"/>
        <v>1.0014269406392695</v>
      </c>
      <c r="Y119" s="71">
        <f t="shared" si="371"/>
        <v>1.1378635346756152</v>
      </c>
      <c r="Z119" s="71">
        <f t="shared" si="371"/>
        <v>0.92466318394281</v>
      </c>
      <c r="AA119" s="983">
        <f t="shared" si="371"/>
        <v>1.0158348649794995</v>
      </c>
      <c r="AB119" s="71">
        <f t="shared" si="371"/>
        <v>1.0151345291479821</v>
      </c>
      <c r="AC119" s="71">
        <f t="shared" si="371"/>
        <v>1.0288382312551496</v>
      </c>
      <c r="AD119" s="71">
        <f t="shared" si="371"/>
        <v>1.0448837830617153</v>
      </c>
      <c r="AE119" s="71">
        <f t="shared" si="371"/>
        <v>1.0352785145888594</v>
      </c>
      <c r="AF119" s="983">
        <f t="shared" si="371"/>
        <v>1.0312457546529004</v>
      </c>
      <c r="AG119" s="71">
        <f t="shared" si="371"/>
        <v>1.0227151256012827</v>
      </c>
      <c r="AH119" s="71">
        <f t="shared" si="371"/>
        <v>1.0547184773988898</v>
      </c>
      <c r="AI119" s="71">
        <f t="shared" si="372" ref="AI119:AR119">AI69/AI$36</f>
        <v>1.1125708397733127</v>
      </c>
      <c r="AJ119" s="71">
        <f t="shared" si="372"/>
        <v>1.0164397636783971</v>
      </c>
      <c r="AK119" s="983">
        <f t="shared" si="372"/>
        <v>1.0518300653594772</v>
      </c>
      <c r="AL119" s="71">
        <f t="shared" si="372"/>
        <v>1.0641821946169772</v>
      </c>
      <c r="AM119" s="71">
        <f t="shared" si="372"/>
        <v>1.1132530120481927</v>
      </c>
      <c r="AN119" s="71">
        <f t="shared" si="372"/>
        <v>1.0643061702681593</v>
      </c>
      <c r="AO119" s="71">
        <f t="shared" si="372"/>
        <v>0.94135962636222104</v>
      </c>
      <c r="AP119" s="983">
        <f t="shared" si="372"/>
        <v>1.0452465018961685</v>
      </c>
      <c r="AQ119" s="71">
        <f t="shared" si="372"/>
        <v>1.0787049223479863</v>
      </c>
      <c r="AR119" s="71">
        <f t="shared" si="372"/>
        <v>0.99716494845360826</v>
      </c>
      <c r="AS119" s="71">
        <f t="shared" si="373" ref="AS119:AX119">AS69/AS$36</f>
        <v>1.0176322418136021</v>
      </c>
      <c r="AT119" s="71">
        <f t="shared" si="373"/>
        <v>0.91015911872705013</v>
      </c>
      <c r="AU119" s="983">
        <f t="shared" si="373"/>
        <v>0.99942799033939245</v>
      </c>
      <c r="AV119" s="71">
        <f t="shared" si="373"/>
        <v>0.95283714075165804</v>
      </c>
      <c r="AW119" s="71">
        <f t="shared" si="373"/>
        <v>0.97273589378852532</v>
      </c>
      <c r="AX119" s="71">
        <f t="shared" si="373"/>
        <v>1.0041350792556858</v>
      </c>
      <c r="AY119" s="71">
        <f t="shared" si="374" ref="AY119:BJ119">AY69/AY$36</f>
        <v>0.93622277116550645</v>
      </c>
      <c r="AZ119" s="983">
        <f t="shared" si="374"/>
        <v>0.96648142731792919</v>
      </c>
      <c r="BA119" s="71">
        <f t="shared" si="375" ref="BA119:BI119">BA69/BA$36</f>
        <v>0.97900379718561537</v>
      </c>
      <c r="BB119" s="71">
        <f t="shared" si="375"/>
        <v>1.0406976744186047</v>
      </c>
      <c r="BC119" s="71">
        <f t="shared" si="375"/>
        <v>1.031275221953188</v>
      </c>
      <c r="BD119" s="71">
        <f t="shared" si="375"/>
        <v>0.90447996842313005</v>
      </c>
      <c r="BE119" s="983">
        <f t="shared" si="375"/>
        <v>0.98777684914333475</v>
      </c>
      <c r="BF119" s="71">
        <f>BF69/BF$36</f>
        <v>0.97151162790697676</v>
      </c>
      <c r="BG119" s="71">
        <f>BG69/BG$36</f>
        <v>0.99980650154798767</v>
      </c>
      <c r="BH119" s="740">
        <f>BH69/BH$36</f>
        <v>0.99634636463280968</v>
      </c>
      <c r="BI119" s="435">
        <f t="shared" si="375"/>
        <v>0.99</v>
      </c>
      <c r="BJ119" s="982">
        <f t="shared" si="374"/>
        <v>0.98952288168312419</v>
      </c>
      <c r="BK119" s="435">
        <f>BK69/BK$36</f>
        <v>0.99399999999999999</v>
      </c>
      <c r="BL119" s="435">
        <f>BL69/BL$36</f>
        <v>0.99899999999999989</v>
      </c>
      <c r="BM119" s="435">
        <f>BM69/BM$36</f>
        <v>0.98899999999999999</v>
      </c>
      <c r="BN119" s="435">
        <f>BN69/BN$36</f>
        <v>0.9900000000000001</v>
      </c>
      <c r="BO119" s="982">
        <f>BO69/BO$36</f>
        <v>0.99308147659078816</v>
      </c>
      <c r="BP119" s="982">
        <f t="shared" si="376" ref="BP119:BR122">BP69/BP36</f>
        <v>0.99699999999999989</v>
      </c>
      <c r="BQ119" s="982">
        <f t="shared" si="376"/>
        <v>0.985</v>
      </c>
      <c r="BR119" s="982">
        <f t="shared" si="376"/>
        <v>0.997</v>
      </c>
      <c r="BS119" s="71"/>
    </row>
    <row r="120" spans="1:71" s="27" customFormat="1" ht="15">
      <c r="A120" s="41" t="s">
        <v>78</v>
      </c>
      <c r="B120" s="434"/>
      <c r="C120" s="983">
        <f t="shared" si="377" ref="C120:AH120">C70/C$37</f>
        <v>0.88448844884488453</v>
      </c>
      <c r="D120" s="983">
        <f t="shared" si="377"/>
        <v>0.88031353632800724</v>
      </c>
      <c r="E120" s="983">
        <f t="shared" si="377"/>
        <v>0.86263390044108379</v>
      </c>
      <c r="F120" s="983">
        <f t="shared" si="377"/>
        <v>0.84400656814449915</v>
      </c>
      <c r="G120" s="983">
        <f t="shared" si="377"/>
        <v>0.73750630994447253</v>
      </c>
      <c r="H120" s="71">
        <f t="shared" si="377"/>
        <v>0.6938369781312127</v>
      </c>
      <c r="I120" s="71">
        <f t="shared" si="377"/>
        <v>0.58587786259541985</v>
      </c>
      <c r="J120" s="71">
        <f t="shared" si="377"/>
        <v>0.67172675521821634</v>
      </c>
      <c r="K120" s="71">
        <f t="shared" si="377"/>
        <v>0.50191570881226055</v>
      </c>
      <c r="L120" s="983">
        <f t="shared" si="377"/>
        <v>0.61271676300578037</v>
      </c>
      <c r="M120" s="71">
        <f t="shared" si="377"/>
        <v>0.76587301587301593</v>
      </c>
      <c r="N120" s="71">
        <f t="shared" si="377"/>
        <v>0.74045801526717558</v>
      </c>
      <c r="O120" s="71">
        <f t="shared" si="377"/>
        <v>0.57513914656771803</v>
      </c>
      <c r="P120" s="71">
        <f t="shared" si="377"/>
        <v>0.65830115830115832</v>
      </c>
      <c r="Q120" s="983">
        <f t="shared" si="377"/>
        <v>0.68345323741007191</v>
      </c>
      <c r="R120" s="71">
        <f t="shared" si="377"/>
        <v>0.70289855072463769</v>
      </c>
      <c r="S120" s="71">
        <f t="shared" si="377"/>
        <v>0.54740608228980325</v>
      </c>
      <c r="T120" s="71">
        <f t="shared" si="377"/>
        <v>0.71029668411867364</v>
      </c>
      <c r="U120" s="71">
        <f t="shared" si="377"/>
        <v>0.69097222222222221</v>
      </c>
      <c r="V120" s="983">
        <f t="shared" si="377"/>
        <v>0.66327433628318588</v>
      </c>
      <c r="W120" s="71">
        <f t="shared" si="377"/>
        <v>0.79819819819819815</v>
      </c>
      <c r="X120" s="71">
        <f t="shared" si="377"/>
        <v>0.69217391304347831</v>
      </c>
      <c r="Y120" s="71">
        <f t="shared" si="377"/>
        <v>0.78172588832487311</v>
      </c>
      <c r="Z120" s="71">
        <f t="shared" si="377"/>
        <v>0.83959044368600677</v>
      </c>
      <c r="AA120" s="983">
        <f t="shared" si="377"/>
        <v>0.77806675335934117</v>
      </c>
      <c r="AB120" s="71">
        <f t="shared" si="377"/>
        <v>0.75257731958762886</v>
      </c>
      <c r="AC120" s="71">
        <f t="shared" si="377"/>
        <v>0.67221297836938432</v>
      </c>
      <c r="AD120" s="71">
        <f t="shared" si="377"/>
        <v>0.70502431118314424</v>
      </c>
      <c r="AE120" s="71">
        <f t="shared" si="377"/>
        <v>0.65806451612903227</v>
      </c>
      <c r="AF120" s="983">
        <f t="shared" si="377"/>
        <v>0.69628099173553715</v>
      </c>
      <c r="AG120" s="71">
        <f t="shared" si="377"/>
        <v>0.81683168316831678</v>
      </c>
      <c r="AH120" s="71">
        <f t="shared" si="377"/>
        <v>0.75316455696202533</v>
      </c>
      <c r="AI120" s="71">
        <f t="shared" si="378" ref="AI120:AR120">AI70/AI$37</f>
        <v>0.84226646248085757</v>
      </c>
      <c r="AJ120" s="71">
        <f t="shared" si="378"/>
        <v>0.79228486646884277</v>
      </c>
      <c r="AK120" s="983">
        <f t="shared" si="378"/>
        <v>0.80116959064327486</v>
      </c>
      <c r="AL120" s="71">
        <f t="shared" si="378"/>
        <v>0.86356821589205401</v>
      </c>
      <c r="AM120" s="71">
        <f t="shared" si="378"/>
        <v>0.94372294372294374</v>
      </c>
      <c r="AN120" s="71">
        <f t="shared" si="378"/>
        <v>0.8976486860304288</v>
      </c>
      <c r="AO120" s="71">
        <f t="shared" si="378"/>
        <v>0.81621621621621621</v>
      </c>
      <c r="AP120" s="983">
        <f t="shared" si="378"/>
        <v>0.87956075097414099</v>
      </c>
      <c r="AQ120" s="71">
        <f t="shared" si="378"/>
        <v>0.85868102288021531</v>
      </c>
      <c r="AR120" s="71">
        <f t="shared" si="378"/>
        <v>0.78865979381443296</v>
      </c>
      <c r="AS120" s="71">
        <f t="shared" si="379" ref="AS120:AX120">AS70/AS$37</f>
        <v>0.81513647642679898</v>
      </c>
      <c r="AT120" s="71">
        <f t="shared" si="379"/>
        <v>0.82164821648216479</v>
      </c>
      <c r="AU120" s="983">
        <f t="shared" si="379"/>
        <v>0.82058636073932445</v>
      </c>
      <c r="AV120" s="71">
        <f t="shared" si="379"/>
        <v>0.78536585365853662</v>
      </c>
      <c r="AW120" s="71">
        <f t="shared" si="379"/>
        <v>0.74500587544065799</v>
      </c>
      <c r="AX120" s="71">
        <f t="shared" si="379"/>
        <v>0.73432155074116301</v>
      </c>
      <c r="AY120" s="71">
        <f t="shared" si="380" ref="AY120:BJ120">AY70/AY$37</f>
        <v>0.77126436781609198</v>
      </c>
      <c r="AZ120" s="983">
        <f t="shared" si="380"/>
        <v>0.75863077823288472</v>
      </c>
      <c r="BA120" s="71">
        <f t="shared" si="381" ref="BA120:BI120">BA70/BA$37</f>
        <v>0.80571428571428572</v>
      </c>
      <c r="BB120" s="71">
        <f t="shared" si="381"/>
        <v>0.77607025246981343</v>
      </c>
      <c r="BC120" s="71">
        <f t="shared" si="381"/>
        <v>0.74438502673796791</v>
      </c>
      <c r="BD120" s="71">
        <f t="shared" si="381"/>
        <v>0.78265524625267668</v>
      </c>
      <c r="BE120" s="983">
        <f t="shared" si="381"/>
        <v>0.77674418604651163</v>
      </c>
      <c r="BF120" s="71">
        <f>BF70/BF$37</f>
        <v>0.85251046025104604</v>
      </c>
      <c r="BG120" s="71">
        <f>BG70/BG$37</f>
        <v>0.88331627430910953</v>
      </c>
      <c r="BH120" s="740">
        <f>BH70/BH$37</f>
        <v>0.83052527254707631</v>
      </c>
      <c r="BI120" s="435">
        <f t="shared" si="381"/>
        <v>0.85299999999999998</v>
      </c>
      <c r="BJ120" s="982">
        <f t="shared" si="380"/>
        <v>0.8546593264751291</v>
      </c>
      <c r="BK120" s="435">
        <f>BK70/BK$37</f>
        <v>0.86</v>
      </c>
      <c r="BL120" s="435">
        <f>BL70/BL$37</f>
        <v>0.87</v>
      </c>
      <c r="BM120" s="435">
        <f>BM70/BM$37</f>
        <v>0.86999999999999988</v>
      </c>
      <c r="BN120" s="435">
        <f>BN70/BN$37</f>
        <v>0.85299999999999998</v>
      </c>
      <c r="BO120" s="982">
        <f>BO70/BO$37</f>
        <v>0.86342557962240452</v>
      </c>
      <c r="BP120" s="982">
        <f t="shared" si="376"/>
        <v>0.86799999999999988</v>
      </c>
      <c r="BQ120" s="982">
        <f t="shared" si="376"/>
        <v>0.84300000000000008</v>
      </c>
      <c r="BR120" s="982">
        <f t="shared" si="376"/>
        <v>0.86799999999999988</v>
      </c>
      <c r="BS120" s="71"/>
    </row>
    <row r="121" spans="1:71" s="27" customFormat="1" ht="15">
      <c r="A121" s="328" t="s">
        <v>79</v>
      </c>
      <c r="B121" s="436"/>
      <c r="C121" s="986">
        <f t="shared" si="382" ref="C121:AH121">C71/C$38</f>
        <v>0.95883096810453838</v>
      </c>
      <c r="D121" s="986">
        <f t="shared" si="382"/>
        <v>0.99523744727173769</v>
      </c>
      <c r="E121" s="986">
        <f t="shared" si="382"/>
        <v>1.14745025695085</v>
      </c>
      <c r="F121" s="986">
        <f t="shared" si="382"/>
        <v>1.0289988190526178</v>
      </c>
      <c r="G121" s="986">
        <f t="shared" si="382"/>
        <v>0.90005461496450023</v>
      </c>
      <c r="H121" s="322">
        <f t="shared" si="382"/>
        <v>0.84790011350737793</v>
      </c>
      <c r="I121" s="322">
        <f t="shared" si="382"/>
        <v>1.0084602368866329</v>
      </c>
      <c r="J121" s="322">
        <f t="shared" si="382"/>
        <v>0.87138084632516699</v>
      </c>
      <c r="K121" s="322">
        <f t="shared" si="382"/>
        <v>0.8623188405797102</v>
      </c>
      <c r="L121" s="986">
        <f t="shared" si="382"/>
        <v>0.89740350877192987</v>
      </c>
      <c r="M121" s="322">
        <f t="shared" si="382"/>
        <v>0.84637188208616776</v>
      </c>
      <c r="N121" s="322">
        <f t="shared" si="382"/>
        <v>0.92157953281423799</v>
      </c>
      <c r="O121" s="322">
        <f t="shared" si="382"/>
        <v>0.8619565217391304</v>
      </c>
      <c r="P121" s="322">
        <f t="shared" si="382"/>
        <v>0.87674169346195074</v>
      </c>
      <c r="Q121" s="986">
        <f t="shared" si="382"/>
        <v>0.87671986791414425</v>
      </c>
      <c r="R121" s="322">
        <f t="shared" si="382"/>
        <v>0.94689826302729529</v>
      </c>
      <c r="S121" s="322">
        <f t="shared" si="382"/>
        <v>0.98888351860802315</v>
      </c>
      <c r="T121" s="322">
        <f t="shared" si="382"/>
        <v>0.94576905095839181</v>
      </c>
      <c r="U121" s="322">
        <f t="shared" si="382"/>
        <v>0.98998178506375223</v>
      </c>
      <c r="V121" s="986">
        <f t="shared" si="382"/>
        <v>0.96816724076493643</v>
      </c>
      <c r="W121" s="322">
        <f t="shared" si="382"/>
        <v>1.0063665302410187</v>
      </c>
      <c r="X121" s="322">
        <f t="shared" si="382"/>
        <v>1.0506161971830985</v>
      </c>
      <c r="Y121" s="322">
        <f t="shared" si="382"/>
        <v>1.0067911714770799</v>
      </c>
      <c r="Z121" s="322">
        <f t="shared" si="382"/>
        <v>1.0961298377028714</v>
      </c>
      <c r="AA121" s="986">
        <f t="shared" si="382"/>
        <v>1.0407367280606716</v>
      </c>
      <c r="AB121" s="322">
        <f t="shared" si="382"/>
        <v>0.98449937159614576</v>
      </c>
      <c r="AC121" s="322">
        <f t="shared" si="382"/>
        <v>1.059518956379943</v>
      </c>
      <c r="AD121" s="322">
        <f t="shared" si="382"/>
        <v>0.98215701823949242</v>
      </c>
      <c r="AE121" s="322">
        <f t="shared" si="382"/>
        <v>1.0356164383561643</v>
      </c>
      <c r="AF121" s="986">
        <f t="shared" si="382"/>
        <v>1.0156297267318746</v>
      </c>
      <c r="AG121" s="322">
        <f t="shared" si="382"/>
        <v>0.91184682887913837</v>
      </c>
      <c r="AH121" s="322">
        <f t="shared" si="382"/>
        <v>1.0128254955305092</v>
      </c>
      <c r="AI121" s="322">
        <f t="shared" si="383" ref="AI121:AR121">AI71/AI$38</f>
        <v>0.9909228441754917</v>
      </c>
      <c r="AJ121" s="322">
        <f t="shared" si="383"/>
        <v>0.89601192694744691</v>
      </c>
      <c r="AK121" s="986">
        <f t="shared" si="383"/>
        <v>0.95282021716152587</v>
      </c>
      <c r="AL121" s="322">
        <f t="shared" si="383"/>
        <v>0.89288361749444034</v>
      </c>
      <c r="AM121" s="322">
        <f t="shared" si="383"/>
        <v>1.0209734863474476</v>
      </c>
      <c r="AN121" s="322">
        <f t="shared" si="383"/>
        <v>0.87322443181818177</v>
      </c>
      <c r="AO121" s="322">
        <f t="shared" si="383"/>
        <v>0.85135135135135132</v>
      </c>
      <c r="AP121" s="986">
        <f t="shared" si="383"/>
        <v>0.90647021140294681</v>
      </c>
      <c r="AQ121" s="322">
        <f t="shared" si="383"/>
        <v>0.9135021097046413</v>
      </c>
      <c r="AR121" s="322">
        <f t="shared" si="383"/>
        <v>1.008108108108108</v>
      </c>
      <c r="AS121" s="322">
        <f t="shared" si="384" ref="AS121:AX121">AS71/AS$38</f>
        <v>1.0569931215198165</v>
      </c>
      <c r="AT121" s="322">
        <f t="shared" si="384"/>
        <v>0.92130518234165071</v>
      </c>
      <c r="AU121" s="986">
        <f t="shared" si="384"/>
        <v>0.97546524242677124</v>
      </c>
      <c r="AV121" s="322">
        <f t="shared" si="384"/>
        <v>0.96349663784822281</v>
      </c>
      <c r="AW121" s="322">
        <f t="shared" si="384"/>
        <v>1.1222290640394088</v>
      </c>
      <c r="AX121" s="322">
        <f t="shared" si="384"/>
        <v>1.0824224519940915</v>
      </c>
      <c r="AY121" s="322">
        <f t="shared" si="385" ref="AY121:BJ121">AY71/AY$38</f>
        <v>1.0632512879221523</v>
      </c>
      <c r="AZ121" s="986">
        <f t="shared" si="385"/>
        <v>1.0590943396226415</v>
      </c>
      <c r="BA121" s="322">
        <f t="shared" si="386" ref="BA121:BI121">BA71/BA$38</f>
        <v>1.0254140491147916</v>
      </c>
      <c r="BB121" s="322">
        <f t="shared" si="386"/>
        <v>1.2302649549303468</v>
      </c>
      <c r="BC121" s="322">
        <f t="shared" si="386"/>
        <v>1.1102691403187877</v>
      </c>
      <c r="BD121" s="322">
        <f t="shared" si="386"/>
        <v>0.87789526686807651</v>
      </c>
      <c r="BE121" s="986">
        <f t="shared" si="386"/>
        <v>1.0580804705253308</v>
      </c>
      <c r="BF121" s="322">
        <f>BF71/BF$38</f>
        <v>0.97855361596009971</v>
      </c>
      <c r="BG121" s="322">
        <f>BG71/BG$38</f>
        <v>1.0949243533430941</v>
      </c>
      <c r="BH121" s="741">
        <f>BH71/BH$38</f>
        <v>0.93413882966121775</v>
      </c>
      <c r="BI121" s="437">
        <f t="shared" si="386"/>
        <v>0.88900000000000012</v>
      </c>
      <c r="BJ121" s="985">
        <f t="shared" si="385"/>
        <v>0.97374497825699491</v>
      </c>
      <c r="BK121" s="437">
        <f>BK71/BK$38</f>
        <v>0.90</v>
      </c>
      <c r="BL121" s="437">
        <f>BL71/BL$38</f>
        <v>0.9850000000000001</v>
      </c>
      <c r="BM121" s="437">
        <f>BM71/BM$38</f>
        <v>0.96</v>
      </c>
      <c r="BN121" s="437">
        <f>BN71/BN$38</f>
        <v>0.88900000000000001</v>
      </c>
      <c r="BO121" s="985">
        <f>BO71/BO$38</f>
        <v>0.93632153005957575</v>
      </c>
      <c r="BP121" s="985">
        <f t="shared" si="376"/>
        <v>0.95</v>
      </c>
      <c r="BQ121" s="985">
        <f t="shared" si="376"/>
        <v>0.93</v>
      </c>
      <c r="BR121" s="985">
        <f t="shared" si="376"/>
        <v>0.94999999999999984</v>
      </c>
      <c r="BS121" s="71"/>
    </row>
    <row r="122" spans="1:71" s="28" customFormat="1" ht="15">
      <c r="A122" s="40" t="s">
        <v>80</v>
      </c>
      <c r="B122" s="459"/>
      <c r="C122" s="991">
        <f t="shared" si="387" ref="C122:AH122">C72/C$39</f>
        <v>0.91278363992903166</v>
      </c>
      <c r="D122" s="1021">
        <f t="shared" si="387"/>
        <v>0.95142777155655101</v>
      </c>
      <c r="E122" s="1021">
        <f t="shared" si="387"/>
        <v>1.0707107288365776</v>
      </c>
      <c r="F122" s="1021">
        <f t="shared" si="387"/>
        <v>0.99176991546271864</v>
      </c>
      <c r="G122" s="1021">
        <f t="shared" si="387"/>
        <v>0.92172107611432608</v>
      </c>
      <c r="H122" s="43">
        <f t="shared" si="387"/>
        <v>0.8825347758887172</v>
      </c>
      <c r="I122" s="43">
        <f t="shared" si="387"/>
        <v>0.97553981106612686</v>
      </c>
      <c r="J122" s="43">
        <f t="shared" si="387"/>
        <v>0.92411833528330267</v>
      </c>
      <c r="K122" s="43">
        <f t="shared" si="387"/>
        <v>0.87339019902993809</v>
      </c>
      <c r="L122" s="1021">
        <f t="shared" si="387"/>
        <v>0.91397123940454605</v>
      </c>
      <c r="M122" s="43">
        <f t="shared" si="387"/>
        <v>0.9140625</v>
      </c>
      <c r="N122" s="43">
        <f t="shared" si="387"/>
        <v>0.93323216995447644</v>
      </c>
      <c r="O122" s="43">
        <f t="shared" si="387"/>
        <v>0.89340185676392569</v>
      </c>
      <c r="P122" s="43">
        <f t="shared" si="387"/>
        <v>0.89075211688527312</v>
      </c>
      <c r="Q122" s="1021">
        <f t="shared" si="387"/>
        <v>0.90772388372287849</v>
      </c>
      <c r="R122" s="43">
        <f t="shared" si="387"/>
        <v>0.94800200635345255</v>
      </c>
      <c r="S122" s="43">
        <f t="shared" si="387"/>
        <v>0.95566177682544917</v>
      </c>
      <c r="T122" s="43">
        <f t="shared" si="387"/>
        <v>0.95297149299404094</v>
      </c>
      <c r="U122" s="43">
        <f t="shared" si="387"/>
        <v>0.92289310180022299</v>
      </c>
      <c r="V122" s="1021">
        <f t="shared" si="387"/>
        <v>0.94472976277818532</v>
      </c>
      <c r="W122" s="43">
        <f t="shared" si="387"/>
        <v>0.98415008895358236</v>
      </c>
      <c r="X122" s="43">
        <f t="shared" si="387"/>
        <v>0.99102503542749176</v>
      </c>
      <c r="Y122" s="43">
        <f t="shared" si="387"/>
        <v>1.0582554039552354</v>
      </c>
      <c r="Z122" s="43">
        <f t="shared" si="387"/>
        <v>0.97932387564141266</v>
      </c>
      <c r="AA122" s="1021">
        <f t="shared" si="387"/>
        <v>1.0034263909979364</v>
      </c>
      <c r="AB122" s="43">
        <f t="shared" si="387"/>
        <v>0.98057212788741011</v>
      </c>
      <c r="AC122" s="43">
        <f t="shared" si="387"/>
        <v>1.00806572068708</v>
      </c>
      <c r="AD122" s="43">
        <f t="shared" si="387"/>
        <v>0.99142691078174949</v>
      </c>
      <c r="AE122" s="43">
        <f t="shared" si="387"/>
        <v>1.0017278617710583</v>
      </c>
      <c r="AF122" s="1021">
        <f t="shared" si="387"/>
        <v>0.99556524631361099</v>
      </c>
      <c r="AG122" s="43">
        <f t="shared" si="387"/>
        <v>0.96396790663749088</v>
      </c>
      <c r="AH122" s="43">
        <f t="shared" si="387"/>
        <v>1.0120206067544362</v>
      </c>
      <c r="AI122" s="43">
        <f t="shared" si="388" ref="AI122:AR122">AI72/AI$39</f>
        <v>1.0431815016018944</v>
      </c>
      <c r="AJ122" s="43">
        <f t="shared" si="388"/>
        <v>0.95103448275862068</v>
      </c>
      <c r="AK122" s="1021">
        <f t="shared" si="388"/>
        <v>0.99264289756649693</v>
      </c>
      <c r="AL122" s="43">
        <f t="shared" si="388"/>
        <v>0.98174021303084802</v>
      </c>
      <c r="AM122" s="43">
        <f t="shared" si="388"/>
        <v>1.0628324946081955</v>
      </c>
      <c r="AN122" s="43">
        <f t="shared" si="388"/>
        <v>0.97506775067750673</v>
      </c>
      <c r="AO122" s="43">
        <f t="shared" si="388"/>
        <v>0.89425133689839575</v>
      </c>
      <c r="AP122" s="1021">
        <f t="shared" si="388"/>
        <v>0.97693155212780614</v>
      </c>
      <c r="AQ122" s="43">
        <f t="shared" si="388"/>
        <v>0.99295965339832115</v>
      </c>
      <c r="AR122" s="43">
        <f t="shared" si="388"/>
        <v>0.98017331932773111</v>
      </c>
      <c r="AS122" s="43">
        <f t="shared" si="389" ref="AS122:AX122">AS72/AS$39</f>
        <v>1.0121343722059011</v>
      </c>
      <c r="AT122" s="43">
        <f t="shared" si="389"/>
        <v>0.90553339980059822</v>
      </c>
      <c r="AU122" s="1021">
        <f t="shared" si="389"/>
        <v>0.97193323610435911</v>
      </c>
      <c r="AV122" s="43">
        <f t="shared" si="389"/>
        <v>0.93985525330671327</v>
      </c>
      <c r="AW122" s="43">
        <f t="shared" si="389"/>
        <v>1.0078153180233258</v>
      </c>
      <c r="AX122" s="43">
        <f t="shared" si="389"/>
        <v>1.0074289030760302</v>
      </c>
      <c r="AY122" s="43">
        <f t="shared" si="390" ref="AY122:BJ122">AY72/AY$39</f>
        <v>0.97028467732788926</v>
      </c>
      <c r="AZ122" s="1021">
        <f t="shared" si="390"/>
        <v>0.98178479400527208</v>
      </c>
      <c r="BA122" s="43">
        <f t="shared" si="391" ref="BA122:BI122">BA72/BA$39</f>
        <v>0.98023492206912133</v>
      </c>
      <c r="BB122" s="43">
        <f t="shared" si="391"/>
        <v>1.08984375</v>
      </c>
      <c r="BC122" s="43">
        <f t="shared" si="391"/>
        <v>1.0347808190985799</v>
      </c>
      <c r="BD122" s="43">
        <f t="shared" si="391"/>
        <v>0.8824827032989071</v>
      </c>
      <c r="BE122" s="1021">
        <f t="shared" si="391"/>
        <v>0.9952066947379572</v>
      </c>
      <c r="BF122" s="43">
        <f>BF72/BF$39</f>
        <v>0.96306537625913491</v>
      </c>
      <c r="BG122" s="43">
        <f>BG72/BG$39</f>
        <v>1.026749975593088</v>
      </c>
      <c r="BH122" s="758">
        <f>BH72/BH$39</f>
        <v>0.95618460388639759</v>
      </c>
      <c r="BI122" s="460">
        <f t="shared" si="391"/>
        <v>0.93631286762479093</v>
      </c>
      <c r="BJ122" s="1018">
        <f t="shared" si="390"/>
        <v>0.97048312306244278</v>
      </c>
      <c r="BK122" s="460">
        <f>BK72/BK$39</f>
        <v>0.94851583301104192</v>
      </c>
      <c r="BL122" s="460">
        <f>BL72/BL$39</f>
        <v>0.98193805037056903</v>
      </c>
      <c r="BM122" s="460">
        <f>BM72/BM$39</f>
        <v>0.96631295273560835</v>
      </c>
      <c r="BN122" s="460">
        <f>BN72/BN$39</f>
        <v>0.93576286115927165</v>
      </c>
      <c r="BO122" s="1018">
        <f>BO72/BO$39</f>
        <v>0.95882246074505895</v>
      </c>
      <c r="BP122" s="1018">
        <f t="shared" si="376"/>
        <v>0.9657129550971888</v>
      </c>
      <c r="BQ122" s="1018">
        <f t="shared" si="376"/>
        <v>0.94864098446407397</v>
      </c>
      <c r="BR122" s="1018">
        <f t="shared" si="376"/>
        <v>0.96471674174374067</v>
      </c>
      <c r="BS122" s="43"/>
    </row>
    <row r="123" spans="1:71" s="28" customFormat="1" ht="15">
      <c r="A123" s="40" t="s">
        <v>561</v>
      </c>
      <c r="B123" s="459"/>
      <c r="C123" s="991">
        <f t="shared" si="392" ref="C123:AQ123">1-(C78/C39)</f>
        <v>0.95334979923428897</v>
      </c>
      <c r="D123" s="1021">
        <f t="shared" si="392"/>
        <v>0.95772559723777528</v>
      </c>
      <c r="E123" s="1021">
        <f t="shared" si="392"/>
        <v>0.98745400633770941</v>
      </c>
      <c r="F123" s="1021">
        <f t="shared" si="392"/>
        <v>0.95032276244576641</v>
      </c>
      <c r="G123" s="1021">
        <f t="shared" si="392"/>
        <v>0.93261337633078589</v>
      </c>
      <c r="H123" s="43">
        <f t="shared" si="392"/>
        <v>0.90709599862613777</v>
      </c>
      <c r="I123" s="43">
        <f t="shared" si="392"/>
        <v>0.93332135627530366</v>
      </c>
      <c r="J123" s="43">
        <f t="shared" si="392"/>
        <v>0.92901554404145081</v>
      </c>
      <c r="K123" s="43">
        <f t="shared" si="392"/>
        <v>0.92554122763003843</v>
      </c>
      <c r="L123" s="1021">
        <f t="shared" si="392"/>
        <v>0.92395955804832797</v>
      </c>
      <c r="M123" s="43">
        <f t="shared" si="392"/>
        <v>0.92817798913043481</v>
      </c>
      <c r="N123" s="43">
        <f t="shared" si="392"/>
        <v>0.93097639521160003</v>
      </c>
      <c r="O123" s="43">
        <f t="shared" si="392"/>
        <v>0.91250149204244035</v>
      </c>
      <c r="P123" s="43">
        <f t="shared" si="392"/>
        <v>0.93162045492279599</v>
      </c>
      <c r="Q123" s="1021">
        <f t="shared" si="392"/>
        <v>0.92567801792745241</v>
      </c>
      <c r="R123" s="43">
        <f t="shared" si="392"/>
        <v>0.9254362146798194</v>
      </c>
      <c r="S123" s="43">
        <f t="shared" si="392"/>
        <v>0.9486482610845558</v>
      </c>
      <c r="T123" s="43">
        <f t="shared" si="392"/>
        <v>0.94520824609437915</v>
      </c>
      <c r="U123" s="43">
        <f t="shared" si="392"/>
        <v>0.94334013063565392</v>
      </c>
      <c r="V123" s="1021">
        <f t="shared" si="392"/>
        <v>0.94022271133936575</v>
      </c>
      <c r="W123" s="43">
        <f t="shared" si="392"/>
        <v>0.94151544557658096</v>
      </c>
      <c r="X123" s="43">
        <f t="shared" si="392"/>
        <v>0.9593441977641316</v>
      </c>
      <c r="Y123" s="43">
        <f t="shared" si="392"/>
        <v>0.95337176145945124</v>
      </c>
      <c r="Z123" s="43">
        <f t="shared" si="392"/>
        <v>0.94859281617869007</v>
      </c>
      <c r="AA123" s="1021">
        <f t="shared" si="392"/>
        <v>0.95097504185648096</v>
      </c>
      <c r="AB123" s="43">
        <f t="shared" si="392"/>
        <v>0.94943705063484785</v>
      </c>
      <c r="AC123" s="43">
        <f t="shared" si="392"/>
        <v>0.9630587005227782</v>
      </c>
      <c r="AD123" s="43">
        <f t="shared" si="392"/>
        <v>0.95464908456843944</v>
      </c>
      <c r="AE123" s="43">
        <f t="shared" si="392"/>
        <v>0.93743988480921525</v>
      </c>
      <c r="AF123" s="1021">
        <f t="shared" si="392"/>
        <v>0.95118444879707309</v>
      </c>
      <c r="AG123" s="43">
        <f t="shared" si="392"/>
        <v>0.94338847556528083</v>
      </c>
      <c r="AH123" s="43">
        <f t="shared" si="392"/>
        <v>0.97688795077275326</v>
      </c>
      <c r="AI123" s="43">
        <f t="shared" si="392"/>
        <v>0.96869995821145005</v>
      </c>
      <c r="AJ123" s="43">
        <f t="shared" si="392"/>
        <v>0.94726786206896552</v>
      </c>
      <c r="AK123" s="1021">
        <f t="shared" si="392"/>
        <v>0.95935575834748166</v>
      </c>
      <c r="AL123" s="43">
        <f t="shared" si="392"/>
        <v>0.9396893069580855</v>
      </c>
      <c r="AM123" s="43">
        <f t="shared" si="392"/>
        <v>0.94005650611071168</v>
      </c>
      <c r="AN123" s="43">
        <f t="shared" si="392"/>
        <v>0.94035176151761513</v>
      </c>
      <c r="AO123" s="43">
        <f t="shared" si="392"/>
        <v>0.91402834224598928</v>
      </c>
      <c r="AP123" s="1021">
        <f t="shared" si="392"/>
        <v>0.93358445806362755</v>
      </c>
      <c r="AQ123" s="43">
        <f t="shared" si="392"/>
        <v>0.92267966422962366</v>
      </c>
      <c r="AR123" s="43">
        <f t="shared" si="393" ref="AR123:AW123">1-(AR78/AR39)</f>
        <v>0.94157142857142861</v>
      </c>
      <c r="AS123" s="43">
        <f t="shared" si="393"/>
        <v>0.94082845829607864</v>
      </c>
      <c r="AT123" s="43">
        <f t="shared" si="393"/>
        <v>0.91226196410767701</v>
      </c>
      <c r="AU123" s="1021">
        <f t="shared" si="393"/>
        <v>0.92910293307405611</v>
      </c>
      <c r="AV123" s="43">
        <f t="shared" si="393"/>
        <v>0.93898228100823555</v>
      </c>
      <c r="AW123" s="43">
        <f t="shared" si="393"/>
        <v>0.95317903090056511</v>
      </c>
      <c r="AX123" s="43">
        <f t="shared" si="394" ref="AX123:BJ123">1-(AX78/AX39)</f>
        <v>0.95056169471851426</v>
      </c>
      <c r="AY123" s="43">
        <f t="shared" si="394"/>
        <v>0.93895951003742772</v>
      </c>
      <c r="AZ123" s="1021">
        <f t="shared" si="394"/>
        <v>0.94541284838432604</v>
      </c>
      <c r="BA123" s="43">
        <f t="shared" si="395" ref="BA123:BI123">1-(BA78/BA39)</f>
        <v>0.93202202394398015</v>
      </c>
      <c r="BB123" s="43">
        <f t="shared" si="395"/>
        <v>0.93567165798611107</v>
      </c>
      <c r="BC123" s="43">
        <f t="shared" si="395"/>
        <v>0.93145245935377652</v>
      </c>
      <c r="BD123" s="43">
        <f t="shared" si="395"/>
        <v>0.88351298505966114</v>
      </c>
      <c r="BE123" s="1021">
        <f t="shared" si="395"/>
        <v>0.92047790047933054</v>
      </c>
      <c r="BF123" s="43">
        <f>1-(BF78/BF39)</f>
        <v>0.90129172427414572</v>
      </c>
      <c r="BG123" s="43">
        <f>1-(BG78/BG39)</f>
        <v>0.9015932832178073</v>
      </c>
      <c r="BH123" s="758">
        <f>1-(BH78/BH39)</f>
        <v>0.88006119207772793</v>
      </c>
      <c r="BI123" s="460">
        <f t="shared" si="395"/>
        <v>0.88906861103357537</v>
      </c>
      <c r="BJ123" s="1018">
        <f t="shared" si="394"/>
        <v>0.89284070526906778</v>
      </c>
      <c r="BK123" s="460">
        <f t="shared" si="396" ref="BK123:BR123">1-(BK78/BK39)</f>
        <v>0.90318053423744438</v>
      </c>
      <c r="BL123" s="460">
        <f t="shared" si="396"/>
        <v>0.93401169518220351</v>
      </c>
      <c r="BM123" s="460">
        <f t="shared" si="396"/>
        <v>0.91784942560467697</v>
      </c>
      <c r="BN123" s="460">
        <f t="shared" si="396"/>
        <v>0.88814944782341065</v>
      </c>
      <c r="BO123" s="1018">
        <f t="shared" si="396"/>
        <v>0.91145249182690125</v>
      </c>
      <c r="BP123" s="1018">
        <f t="shared" si="396"/>
        <v>0.91773353491167875</v>
      </c>
      <c r="BQ123" s="1018">
        <f t="shared" si="396"/>
        <v>0.9001924846209135</v>
      </c>
      <c r="BR123" s="1018">
        <f t="shared" si="396"/>
        <v>0.91579604759032551</v>
      </c>
      <c r="BS123" s="43"/>
    </row>
    <row r="124" spans="1:71" s="77" customFormat="1" ht="15">
      <c r="A124" s="592" t="str">
        <f>CONCATENATE("Consensus Estimates - ",IFERROR(LEFT(A123,FIND("(",A123)-1),A123))</f>
        <v>Consensus Estimates - Total Combined Ratio excl. PYD &amp; CAT, %</v>
      </c>
      <c r="B124" s="114"/>
      <c r="C124" s="1022"/>
      <c r="D124" s="1022"/>
      <c r="E124" s="1022"/>
      <c r="F124" s="1022"/>
      <c r="G124" s="1022"/>
      <c r="H124" s="663"/>
      <c r="I124" s="663"/>
      <c r="J124" s="663"/>
      <c r="K124" s="663"/>
      <c r="L124" s="1022"/>
      <c r="M124" s="663"/>
      <c r="N124" s="663"/>
      <c r="O124" s="663"/>
      <c r="P124" s="663"/>
      <c r="Q124" s="1022"/>
      <c r="R124" s="663"/>
      <c r="S124" s="663"/>
      <c r="T124" s="663"/>
      <c r="U124" s="663"/>
      <c r="V124" s="1022"/>
      <c r="W124" s="663"/>
      <c r="X124" s="663"/>
      <c r="Y124" s="663"/>
      <c r="Z124" s="663"/>
      <c r="AA124" s="1023"/>
      <c r="AB124" s="663"/>
      <c r="AC124" s="663"/>
      <c r="AD124" s="663"/>
      <c r="AE124" s="663"/>
      <c r="AF124" s="1023"/>
      <c r="AG124" s="663"/>
      <c r="AH124" s="663"/>
      <c r="AI124" s="663"/>
      <c r="AJ124" s="663"/>
      <c r="AK124" s="1023"/>
      <c r="AL124" s="663"/>
      <c r="AM124" s="663"/>
      <c r="AN124" s="663"/>
      <c r="AO124" s="663"/>
      <c r="AP124" s="1023"/>
      <c r="AQ124" s="663"/>
      <c r="AR124" s="663"/>
      <c r="AS124" s="663"/>
      <c r="AT124" s="663"/>
      <c r="AU124" s="1023"/>
      <c r="AV124" s="663"/>
      <c r="AW124" s="663"/>
      <c r="AX124" s="663"/>
      <c r="AY124" s="663"/>
      <c r="AZ124" s="1023"/>
      <c r="BA124" s="663"/>
      <c r="BB124" s="663"/>
      <c r="BC124" s="663"/>
      <c r="BD124" s="663"/>
      <c r="BE124" s="1023"/>
      <c r="BF124" s="663"/>
      <c r="BG124" s="663"/>
      <c r="BH124" s="759"/>
      <c r="BI124" s="429" t="str">
        <f ca="1" t="shared" si="397" ref="BI124:BO124">IFERROR(VLOOKUP($A124,tb_ConsensusEstimate,MATCH(BI$5,OFFSET(tb_ConsensusEstimate,0,0,1,COLUMNS(tb_ConsensusEstimate)),0),FALSE),"-")</f>
        <v>N/A</v>
      </c>
      <c r="BJ124" s="1023" t="str">
        <f t="shared" ca="1" si="397"/>
        <v>N/A</v>
      </c>
      <c r="BK124" s="429" t="str">
        <f t="shared" ca="1" si="397"/>
        <v>N/A</v>
      </c>
      <c r="BL124" s="429" t="str">
        <f t="shared" ca="1" si="397"/>
        <v>N/A</v>
      </c>
      <c r="BM124" s="429" t="str">
        <f t="shared" ca="1" si="397"/>
        <v>N/A</v>
      </c>
      <c r="BN124" s="429" t="str">
        <f t="shared" ca="1" si="397"/>
        <v>N/A</v>
      </c>
      <c r="BO124" s="1023" t="str">
        <f t="shared" ca="1" si="397"/>
        <v>N/A</v>
      </c>
      <c r="BP124" s="1023" t="str">
        <f ca="1">IFERROR(VLOOKUP($A124,tb_ConsensusEstimate,MATCH(BP5,OFFSET(tb_ConsensusEstimate,0,0,1,COLUMNS(tb_ConsensusEstimate)),0),FALSE),"-")</f>
        <v>N/A</v>
      </c>
      <c r="BQ124" s="1023" t="str">
        <f ca="1">IFERROR(VLOOKUP($A124,tb_ConsensusEstimate,MATCH(BQ5,OFFSET(tb_ConsensusEstimate,0,0,1,COLUMNS(tb_ConsensusEstimate)),0),FALSE),"-")</f>
        <v>N/A</v>
      </c>
      <c r="BR124" s="1023" t="str">
        <f ca="1">IFERROR(VLOOKUP($A124,tb_ConsensusEstimate,MATCH(BR5,OFFSET(tb_ConsensusEstimate,0,0,1,COLUMNS(tb_ConsensusEstimate)),0),FALSE),"-")</f>
        <v>N/A</v>
      </c>
      <c r="BS124" s="663"/>
    </row>
    <row r="125" spans="1:71" s="24" customFormat="1" ht="15">
      <c r="A125" s="449"/>
      <c r="B125" s="462"/>
      <c r="C125" s="1011"/>
      <c r="D125" s="1011"/>
      <c r="E125" s="1011"/>
      <c r="F125" s="1011"/>
      <c r="G125" s="1011"/>
      <c r="H125" s="857"/>
      <c r="I125" s="857"/>
      <c r="J125" s="857"/>
      <c r="K125" s="857"/>
      <c r="L125" s="1011"/>
      <c r="M125" s="857"/>
      <c r="N125" s="857"/>
      <c r="O125" s="857"/>
      <c r="P125" s="857"/>
      <c r="Q125" s="1011"/>
      <c r="R125" s="857"/>
      <c r="S125" s="857"/>
      <c r="T125" s="857"/>
      <c r="U125" s="857"/>
      <c r="V125" s="1011"/>
      <c r="W125" s="857"/>
      <c r="X125" s="857"/>
      <c r="Y125" s="857"/>
      <c r="Z125" s="857"/>
      <c r="AA125" s="1011"/>
      <c r="AB125" s="857"/>
      <c r="AC125" s="857"/>
      <c r="AD125" s="857"/>
      <c r="AE125" s="857"/>
      <c r="AF125" s="1011"/>
      <c r="AG125" s="857"/>
      <c r="AH125" s="857"/>
      <c r="AI125" s="857"/>
      <c r="AJ125" s="857"/>
      <c r="AK125" s="1011"/>
      <c r="AL125" s="857"/>
      <c r="AM125" s="857"/>
      <c r="AN125" s="857"/>
      <c r="AO125" s="857"/>
      <c r="AP125" s="1011"/>
      <c r="AQ125" s="857"/>
      <c r="AR125" s="857"/>
      <c r="AS125" s="857"/>
      <c r="AT125" s="857"/>
      <c r="AU125" s="1011"/>
      <c r="AV125" s="857"/>
      <c r="AW125" s="857"/>
      <c r="AX125" s="857"/>
      <c r="AY125" s="857"/>
      <c r="AZ125" s="1011"/>
      <c r="BA125" s="857"/>
      <c r="BB125" s="857"/>
      <c r="BC125" s="857"/>
      <c r="BD125" s="857"/>
      <c r="BE125" s="1011"/>
      <c r="BF125" s="857"/>
      <c r="BG125" s="857"/>
      <c r="BH125" s="858"/>
      <c r="BI125" s="857"/>
      <c r="BJ125" s="1011"/>
      <c r="BK125" s="857"/>
      <c r="BL125" s="857"/>
      <c r="BM125" s="857"/>
      <c r="BN125" s="857"/>
      <c r="BO125" s="1011"/>
      <c r="BP125" s="1011"/>
      <c r="BQ125" s="1011"/>
      <c r="BR125" s="1011"/>
      <c r="BS125" s="833"/>
    </row>
    <row r="126" spans="1:71" s="181" customFormat="1" ht="15">
      <c r="A126" s="397" t="s">
        <v>532</v>
      </c>
      <c r="B126" s="826"/>
      <c r="C126" s="847"/>
      <c r="D126" s="847"/>
      <c r="E126" s="847"/>
      <c r="F126" s="847"/>
      <c r="G126" s="847"/>
      <c r="H126" s="847"/>
      <c r="I126" s="847"/>
      <c r="J126" s="847"/>
      <c r="K126" s="847"/>
      <c r="L126" s="847"/>
      <c r="M126" s="847"/>
      <c r="N126" s="847"/>
      <c r="O126" s="847"/>
      <c r="P126" s="847"/>
      <c r="Q126" s="847"/>
      <c r="R126" s="847"/>
      <c r="S126" s="847"/>
      <c r="T126" s="847"/>
      <c r="U126" s="847"/>
      <c r="V126" s="847"/>
      <c r="W126" s="847"/>
      <c r="X126" s="847"/>
      <c r="Y126" s="847"/>
      <c r="Z126" s="847"/>
      <c r="AA126" s="847"/>
      <c r="AB126" s="847"/>
      <c r="AC126" s="847"/>
      <c r="AD126" s="847"/>
      <c r="AE126" s="847"/>
      <c r="AF126" s="847"/>
      <c r="AG126" s="847"/>
      <c r="AH126" s="847"/>
      <c r="AI126" s="847"/>
      <c r="AJ126" s="847"/>
      <c r="AK126" s="847"/>
      <c r="AL126" s="847"/>
      <c r="AM126" s="847"/>
      <c r="AN126" s="847"/>
      <c r="AO126" s="847"/>
      <c r="AP126" s="847"/>
      <c r="AQ126" s="847"/>
      <c r="AR126" s="847"/>
      <c r="AS126" s="847"/>
      <c r="AT126" s="847"/>
      <c r="AU126" s="847"/>
      <c r="AV126" s="847"/>
      <c r="AW126" s="847"/>
      <c r="AX126" s="847"/>
      <c r="AY126" s="847"/>
      <c r="AZ126" s="847"/>
      <c r="BA126" s="847"/>
      <c r="BB126" s="847"/>
      <c r="BC126" s="847"/>
      <c r="BD126" s="847"/>
      <c r="BE126" s="847"/>
      <c r="BF126" s="847"/>
      <c r="BG126" s="847"/>
      <c r="BH126" s="848"/>
      <c r="BI126" s="847"/>
      <c r="BJ126" s="847"/>
      <c r="BK126" s="847"/>
      <c r="BL126" s="847"/>
      <c r="BM126" s="847"/>
      <c r="BN126" s="847"/>
      <c r="BO126" s="847"/>
      <c r="BP126" s="847"/>
      <c r="BQ126" s="847"/>
      <c r="BR126" s="847"/>
      <c r="BS126" s="423"/>
    </row>
    <row r="127" spans="1:71" s="45" customFormat="1" ht="15" hidden="1" outlineLevel="1">
      <c r="A127" s="414" t="s">
        <v>533</v>
      </c>
      <c r="B127" s="463"/>
      <c r="C127" s="1008">
        <f t="shared" si="398" ref="C127:AM127">C637</f>
        <v>1758</v>
      </c>
      <c r="D127" s="1008">
        <f t="shared" si="398"/>
        <v>1782</v>
      </c>
      <c r="E127" s="1008">
        <f t="shared" si="398"/>
        <v>1786</v>
      </c>
      <c r="F127" s="1008">
        <f t="shared" si="398"/>
        <v>1792</v>
      </c>
      <c r="G127" s="1008">
        <f t="shared" si="398"/>
        <v>1804</v>
      </c>
      <c r="H127" s="185">
        <f t="shared" si="398"/>
        <v>1836</v>
      </c>
      <c r="I127" s="185">
        <f t="shared" si="398"/>
        <v>1879</v>
      </c>
      <c r="J127" s="185">
        <f t="shared" si="398"/>
        <v>1890</v>
      </c>
      <c r="K127" s="185">
        <f t="shared" si="398"/>
        <v>1835</v>
      </c>
      <c r="L127" s="1008">
        <f t="shared" si="398"/>
        <v>1835</v>
      </c>
      <c r="M127" s="185">
        <f t="shared" si="398"/>
        <v>1847</v>
      </c>
      <c r="N127" s="185">
        <f t="shared" si="398"/>
        <v>1891</v>
      </c>
      <c r="O127" s="185">
        <f t="shared" si="398"/>
        <v>1904</v>
      </c>
      <c r="P127" s="185">
        <f t="shared" si="398"/>
        <v>1849</v>
      </c>
      <c r="Q127" s="1008">
        <f t="shared" si="398"/>
        <v>1849</v>
      </c>
      <c r="R127" s="185">
        <f t="shared" si="398"/>
        <v>1899</v>
      </c>
      <c r="S127" s="185">
        <f t="shared" si="398"/>
        <v>1954</v>
      </c>
      <c r="T127" s="185">
        <f t="shared" si="398"/>
        <v>1975</v>
      </c>
      <c r="U127" s="185">
        <f t="shared" si="398"/>
        <v>1923</v>
      </c>
      <c r="V127" s="1008">
        <f t="shared" si="398"/>
        <v>1923</v>
      </c>
      <c r="W127" s="185">
        <f t="shared" si="398"/>
        <v>1987</v>
      </c>
      <c r="X127" s="185">
        <f t="shared" si="398"/>
        <v>2051</v>
      </c>
      <c r="Y127" s="185">
        <f t="shared" si="398"/>
        <v>2077</v>
      </c>
      <c r="Z127" s="185">
        <f t="shared" si="398"/>
        <v>2025</v>
      </c>
      <c r="AA127" s="1008">
        <f t="shared" si="398"/>
        <v>2025</v>
      </c>
      <c r="AB127" s="185">
        <f t="shared" si="398"/>
        <v>2086</v>
      </c>
      <c r="AC127" s="185">
        <f t="shared" si="398"/>
        <v>2161</v>
      </c>
      <c r="AD127" s="185">
        <f t="shared" si="398"/>
        <v>2186</v>
      </c>
      <c r="AE127" s="185">
        <f t="shared" si="398"/>
        <v>2120</v>
      </c>
      <c r="AF127" s="1008">
        <f t="shared" si="398"/>
        <v>2120</v>
      </c>
      <c r="AG127" s="185">
        <f t="shared" si="398"/>
        <v>2190</v>
      </c>
      <c r="AH127" s="185">
        <f t="shared" si="398"/>
        <v>2281</v>
      </c>
      <c r="AI127" s="185">
        <f t="shared" si="398"/>
        <v>2321</v>
      </c>
      <c r="AJ127" s="185">
        <f t="shared" si="398"/>
        <v>2273</v>
      </c>
      <c r="AK127" s="1008">
        <f t="shared" si="398"/>
        <v>2273</v>
      </c>
      <c r="AL127" s="185">
        <f t="shared" si="398"/>
        <v>2298</v>
      </c>
      <c r="AM127" s="185">
        <f t="shared" si="398"/>
        <v>2367</v>
      </c>
      <c r="AN127" s="185">
        <f>AN637</f>
        <v>2406</v>
      </c>
      <c r="AO127" s="185">
        <f t="shared" si="399" ref="AO127:AQ127">AO637</f>
        <v>2358</v>
      </c>
      <c r="AP127" s="1008">
        <f t="shared" si="399"/>
        <v>2358</v>
      </c>
      <c r="AQ127" s="185">
        <f t="shared" si="399"/>
        <v>2411</v>
      </c>
      <c r="AR127" s="185">
        <f t="shared" si="400" ref="AR127:AW127">AR637</f>
        <v>2501</v>
      </c>
      <c r="AS127" s="185">
        <f t="shared" si="400"/>
        <v>2570</v>
      </c>
      <c r="AT127" s="185">
        <f t="shared" si="400"/>
        <v>2542</v>
      </c>
      <c r="AU127" s="1008">
        <f t="shared" si="400"/>
        <v>2542</v>
      </c>
      <c r="AV127" s="185">
        <f t="shared" si="400"/>
        <v>2645</v>
      </c>
      <c r="AW127" s="185">
        <f t="shared" si="400"/>
        <v>2776</v>
      </c>
      <c r="AX127" s="185">
        <f t="shared" si="401" ref="AX127:BC127">AX637</f>
        <v>2858</v>
      </c>
      <c r="AY127" s="185">
        <f t="shared" si="401"/>
        <v>2836</v>
      </c>
      <c r="AZ127" s="1008">
        <f t="shared" si="401"/>
        <v>2836</v>
      </c>
      <c r="BA127" s="185">
        <f t="shared" si="401"/>
        <v>3005</v>
      </c>
      <c r="BB127" s="185">
        <f t="shared" si="401"/>
        <v>3212</v>
      </c>
      <c r="BC127" s="185">
        <f t="shared" si="401"/>
        <v>3330</v>
      </c>
      <c r="BD127" s="185">
        <f>BD637</f>
        <v>3306</v>
      </c>
      <c r="BE127" s="1008">
        <f>BE637</f>
        <v>3306</v>
      </c>
      <c r="BF127" s="185">
        <f>BF637</f>
        <v>3380</v>
      </c>
      <c r="BG127" s="185">
        <f>BG637</f>
        <v>3508</v>
      </c>
      <c r="BH127" s="749">
        <f>BH637</f>
        <v>3579</v>
      </c>
      <c r="BI127" s="199">
        <f>BH127+INDEX(MO_DAC_ChangeInDAC,0,COLUMN())</f>
        <v>3677.392065</v>
      </c>
      <c r="BJ127" s="1009">
        <f>BI127</f>
        <v>3677.392065</v>
      </c>
      <c r="BK127" s="199">
        <f>BJ127+INDEX(MO_DAC_ChangeInDAC,0,COLUMN())</f>
        <v>3737.995253</v>
      </c>
      <c r="BL127" s="199">
        <f>BK127+INDEX(MO_DAC_ChangeInDAC,0,COLUMN())</f>
        <v>3773.221043</v>
      </c>
      <c r="BM127" s="199">
        <f>BL127+INDEX(MO_DAC_ChangeInDAC,0,COLUMN())</f>
        <v>3809.7216159999998</v>
      </c>
      <c r="BN127" s="199">
        <f>BM127+INDEX(MO_DAC_ChangeInDAC,0,COLUMN())</f>
        <v>3913.122781</v>
      </c>
      <c r="BO127" s="1009">
        <f>BN127</f>
        <v>3913.122781</v>
      </c>
      <c r="BP127" s="1009">
        <f>BO127+INDEX(MO_DAC_ChangeInDAC,0,COLUMN())</f>
        <v>4235.2511700000005</v>
      </c>
      <c r="BQ127" s="1009">
        <f>BP127+INDEX(MO_DAC_ChangeInDAC,0,COLUMN())</f>
        <v>4877.8140550000007</v>
      </c>
      <c r="BR127" s="1009">
        <f>BQ127+INDEX(MO_DAC_ChangeInDAC,0,COLUMN())</f>
        <v>5228.1157890000004</v>
      </c>
      <c r="BS127" s="185"/>
    </row>
    <row r="128" spans="1:71" s="24" customFormat="1" ht="15" hidden="1" outlineLevel="1">
      <c r="A128" s="464"/>
      <c r="B128" s="462"/>
      <c r="C128" s="1011"/>
      <c r="D128" s="1011"/>
      <c r="E128" s="1011"/>
      <c r="F128" s="1011"/>
      <c r="G128" s="1011"/>
      <c r="H128" s="857"/>
      <c r="I128" s="857"/>
      <c r="J128" s="857"/>
      <c r="K128" s="857"/>
      <c r="L128" s="1011"/>
      <c r="M128" s="857"/>
      <c r="N128" s="857"/>
      <c r="O128" s="857"/>
      <c r="P128" s="857"/>
      <c r="Q128" s="1011"/>
      <c r="R128" s="857"/>
      <c r="S128" s="857"/>
      <c r="T128" s="857"/>
      <c r="U128" s="857"/>
      <c r="V128" s="1011"/>
      <c r="W128" s="857"/>
      <c r="X128" s="857"/>
      <c r="Y128" s="857"/>
      <c r="Z128" s="857"/>
      <c r="AA128" s="1011"/>
      <c r="AB128" s="857"/>
      <c r="AC128" s="857"/>
      <c r="AD128" s="857"/>
      <c r="AE128" s="857"/>
      <c r="AF128" s="1011"/>
      <c r="AG128" s="857"/>
      <c r="AH128" s="857"/>
      <c r="AI128" s="857"/>
      <c r="AJ128" s="857"/>
      <c r="AK128" s="1011"/>
      <c r="AL128" s="857"/>
      <c r="AM128" s="857"/>
      <c r="AN128" s="857"/>
      <c r="AO128" s="857"/>
      <c r="AP128" s="1011"/>
      <c r="AQ128" s="857"/>
      <c r="AR128" s="857"/>
      <c r="AS128" s="857"/>
      <c r="AT128" s="857"/>
      <c r="AU128" s="1011"/>
      <c r="AV128" s="857"/>
      <c r="AW128" s="857"/>
      <c r="AX128" s="857"/>
      <c r="AY128" s="857"/>
      <c r="AZ128" s="1011"/>
      <c r="BA128" s="857"/>
      <c r="BB128" s="857"/>
      <c r="BC128" s="857"/>
      <c r="BD128" s="857"/>
      <c r="BE128" s="1011"/>
      <c r="BF128" s="857"/>
      <c r="BG128" s="857"/>
      <c r="BH128" s="858"/>
      <c r="BI128" s="857"/>
      <c r="BJ128" s="1011"/>
      <c r="BK128" s="857"/>
      <c r="BL128" s="857"/>
      <c r="BM128" s="857"/>
      <c r="BN128" s="857"/>
      <c r="BO128" s="1011"/>
      <c r="BP128" s="1011"/>
      <c r="BQ128" s="1011"/>
      <c r="BR128" s="1011"/>
      <c r="BS128" s="833"/>
    </row>
    <row r="129" spans="1:71" s="24" customFormat="1" ht="15" hidden="1" outlineLevel="1">
      <c r="A129" s="412" t="s">
        <v>534</v>
      </c>
      <c r="B129" s="462"/>
      <c r="C129" s="993">
        <f t="shared" si="402" ref="C129:AQ129">INDEX(MO_UI_PAE,0,COLUMN())</f>
        <v>3813</v>
      </c>
      <c r="D129" s="993">
        <f t="shared" si="402"/>
        <v>3802</v>
      </c>
      <c r="E129" s="993">
        <f t="shared" si="402"/>
        <v>3876</v>
      </c>
      <c r="F129" s="993">
        <f t="shared" si="402"/>
        <v>3910</v>
      </c>
      <c r="G129" s="993">
        <f t="shared" si="402"/>
        <v>3821</v>
      </c>
      <c r="H129" s="265">
        <f t="shared" si="402"/>
        <v>950</v>
      </c>
      <c r="I129" s="265">
        <f t="shared" si="402"/>
        <v>965</v>
      </c>
      <c r="J129" s="265">
        <f t="shared" si="402"/>
        <v>984</v>
      </c>
      <c r="K129" s="265">
        <f t="shared" si="402"/>
        <v>983</v>
      </c>
      <c r="L129" s="993">
        <f t="shared" si="402"/>
        <v>3882</v>
      </c>
      <c r="M129" s="265">
        <f t="shared" si="402"/>
        <v>963</v>
      </c>
      <c r="N129" s="265">
        <f t="shared" si="402"/>
        <v>963</v>
      </c>
      <c r="O129" s="265">
        <f t="shared" si="402"/>
        <v>987</v>
      </c>
      <c r="P129" s="265">
        <f t="shared" si="402"/>
        <v>972</v>
      </c>
      <c r="Q129" s="993">
        <f t="shared" si="402"/>
        <v>3885</v>
      </c>
      <c r="R129" s="265">
        <f t="shared" si="402"/>
        <v>971</v>
      </c>
      <c r="S129" s="265">
        <f t="shared" si="402"/>
        <v>989</v>
      </c>
      <c r="T129" s="265">
        <f t="shared" si="402"/>
        <v>1012</v>
      </c>
      <c r="U129" s="265">
        <f t="shared" si="402"/>
        <v>1013</v>
      </c>
      <c r="V129" s="993">
        <f t="shared" si="402"/>
        <v>3985</v>
      </c>
      <c r="W129" s="265">
        <f t="shared" si="402"/>
        <v>1003</v>
      </c>
      <c r="X129" s="265">
        <f t="shared" si="402"/>
        <v>1032</v>
      </c>
      <c r="Y129" s="265">
        <f t="shared" si="402"/>
        <v>1059</v>
      </c>
      <c r="Z129" s="265">
        <f t="shared" si="402"/>
        <v>1072</v>
      </c>
      <c r="AA129" s="993">
        <f t="shared" si="402"/>
        <v>4166</v>
      </c>
      <c r="AB129" s="265">
        <f t="shared" si="402"/>
        <v>1061</v>
      </c>
      <c r="AC129" s="265">
        <f t="shared" si="402"/>
        <v>1081</v>
      </c>
      <c r="AD129" s="265">
        <f t="shared" si="402"/>
        <v>1117</v>
      </c>
      <c r="AE129" s="265">
        <f t="shared" si="402"/>
        <v>1122</v>
      </c>
      <c r="AF129" s="993">
        <f t="shared" si="402"/>
        <v>4381</v>
      </c>
      <c r="AG129" s="265">
        <f t="shared" si="402"/>
        <v>1117</v>
      </c>
      <c r="AH129" s="265">
        <f t="shared" si="402"/>
        <v>1134</v>
      </c>
      <c r="AI129" s="265">
        <f t="shared" si="402"/>
        <v>1169</v>
      </c>
      <c r="AJ129" s="265">
        <f t="shared" si="402"/>
        <v>1181</v>
      </c>
      <c r="AK129" s="993">
        <f t="shared" si="402"/>
        <v>4601</v>
      </c>
      <c r="AL129" s="265">
        <f t="shared" si="402"/>
        <v>1178</v>
      </c>
      <c r="AM129" s="265">
        <f t="shared" si="402"/>
        <v>1173</v>
      </c>
      <c r="AN129" s="265">
        <f>INDEX(MO_UI_PAE,0,COLUMN())</f>
        <v>1207</v>
      </c>
      <c r="AO129" s="265">
        <f t="shared" si="402"/>
        <v>1215</v>
      </c>
      <c r="AP129" s="993">
        <f t="shared" si="402"/>
        <v>4773</v>
      </c>
      <c r="AQ129" s="265">
        <f t="shared" si="402"/>
        <v>1207</v>
      </c>
      <c r="AR129" s="265">
        <f t="shared" si="403" ref="AR129:AW129">INDEX(MO_UI_PAE,0,COLUMN())</f>
        <v>1254</v>
      </c>
      <c r="AS129" s="265">
        <f t="shared" si="403"/>
        <v>1281</v>
      </c>
      <c r="AT129" s="265">
        <f t="shared" si="403"/>
        <v>1301</v>
      </c>
      <c r="AU129" s="993">
        <f t="shared" si="403"/>
        <v>5043</v>
      </c>
      <c r="AV129" s="265">
        <f t="shared" si="403"/>
        <v>1310</v>
      </c>
      <c r="AW129" s="265">
        <f t="shared" si="403"/>
        <v>1365</v>
      </c>
      <c r="AX129" s="265">
        <f t="shared" si="404" ref="AX129:BJ129">INDEX(MO_UI_PAE,0,COLUMN())</f>
        <v>1406</v>
      </c>
      <c r="AY129" s="265">
        <f t="shared" si="404"/>
        <v>1434</v>
      </c>
      <c r="AZ129" s="993">
        <f t="shared" si="404"/>
        <v>5515</v>
      </c>
      <c r="BA129" s="265">
        <f t="shared" si="405" ref="BA129:BI129">INDEX(MO_UI_PAE,0,COLUMN())</f>
        <v>1462</v>
      </c>
      <c r="BB129" s="265">
        <f t="shared" si="405"/>
        <v>1519</v>
      </c>
      <c r="BC129" s="265">
        <f t="shared" si="405"/>
        <v>1604</v>
      </c>
      <c r="BD129" s="265">
        <f t="shared" si="405"/>
        <v>1641</v>
      </c>
      <c r="BE129" s="993">
        <f t="shared" si="405"/>
        <v>6226</v>
      </c>
      <c r="BF129" s="265">
        <f>INDEX(MO_UI_PAE,0,COLUMN())</f>
        <v>1698</v>
      </c>
      <c r="BG129" s="265">
        <f>INDEX(MO_UI_PAE,0,COLUMN())</f>
        <v>1678</v>
      </c>
      <c r="BH129" s="745">
        <f>INDEX(MO_UI_PAE,0,COLUMN())</f>
        <v>1790</v>
      </c>
      <c r="BI129" s="210">
        <f t="shared" si="405"/>
        <v>1608.3653612399999</v>
      </c>
      <c r="BJ129" s="994">
        <f t="shared" si="404"/>
        <v>6774.3653612399994</v>
      </c>
      <c r="BK129" s="210">
        <f t="shared" si="406" ref="BK129:BR129">INDEX(MO_UI_PAE,0,COLUMN())</f>
        <v>1779.3013017880003</v>
      </c>
      <c r="BL129" s="210">
        <f t="shared" si="406"/>
        <v>1902.025952299</v>
      </c>
      <c r="BM129" s="210">
        <f t="shared" si="406"/>
        <v>1948.9009908170001</v>
      </c>
      <c r="BN129" s="210">
        <f t="shared" si="406"/>
        <v>1675.1323659312002</v>
      </c>
      <c r="BO129" s="994">
        <f t="shared" si="406"/>
        <v>7305.3606108352005</v>
      </c>
      <c r="BP129" s="994">
        <f t="shared" si="406"/>
        <v>7358.9070987948835</v>
      </c>
      <c r="BQ129" s="994">
        <f t="shared" si="406"/>
        <v>7314.963116018288</v>
      </c>
      <c r="BR129" s="994">
        <f t="shared" si="406"/>
        <v>7897.1701237441366</v>
      </c>
      <c r="BS129" s="833"/>
    </row>
    <row r="130" spans="1:71" s="261" customFormat="1" ht="15" hidden="1" outlineLevel="1">
      <c r="A130" s="401" t="s">
        <v>535</v>
      </c>
      <c r="B130" s="465"/>
      <c r="C130" s="995">
        <f t="shared" si="407" ref="C130:AQ130">(INDEX(MO_DAC_PAEIncurred,0,COLUMN())+INDEX(MO_DAC_ChangeInDAC,0,COLUMN()))</f>
        <v>3813</v>
      </c>
      <c r="D130" s="995">
        <f t="shared" si="407"/>
        <v>3826</v>
      </c>
      <c r="E130" s="995">
        <f t="shared" si="407"/>
        <v>3880</v>
      </c>
      <c r="F130" s="995">
        <f t="shared" si="407"/>
        <v>3916</v>
      </c>
      <c r="G130" s="995">
        <f t="shared" si="407"/>
        <v>3833</v>
      </c>
      <c r="H130" s="186">
        <f t="shared" si="407"/>
        <v>982</v>
      </c>
      <c r="I130" s="186">
        <f t="shared" si="407"/>
        <v>1008</v>
      </c>
      <c r="J130" s="186">
        <f t="shared" si="407"/>
        <v>995</v>
      </c>
      <c r="K130" s="186">
        <f t="shared" si="407"/>
        <v>928</v>
      </c>
      <c r="L130" s="995">
        <f t="shared" si="407"/>
        <v>3913</v>
      </c>
      <c r="M130" s="186">
        <f t="shared" si="407"/>
        <v>975</v>
      </c>
      <c r="N130" s="186">
        <f t="shared" si="407"/>
        <v>1007</v>
      </c>
      <c r="O130" s="186">
        <f t="shared" si="407"/>
        <v>1000</v>
      </c>
      <c r="P130" s="186">
        <f t="shared" si="407"/>
        <v>917</v>
      </c>
      <c r="Q130" s="995">
        <f t="shared" si="407"/>
        <v>3899</v>
      </c>
      <c r="R130" s="186">
        <f t="shared" si="407"/>
        <v>1021</v>
      </c>
      <c r="S130" s="186">
        <f t="shared" si="407"/>
        <v>1044</v>
      </c>
      <c r="T130" s="186">
        <f t="shared" si="407"/>
        <v>1033</v>
      </c>
      <c r="U130" s="186">
        <f t="shared" si="407"/>
        <v>961</v>
      </c>
      <c r="V130" s="995">
        <f t="shared" si="407"/>
        <v>4059</v>
      </c>
      <c r="W130" s="186">
        <f t="shared" si="407"/>
        <v>1067</v>
      </c>
      <c r="X130" s="186">
        <f t="shared" si="407"/>
        <v>1096</v>
      </c>
      <c r="Y130" s="186">
        <f t="shared" si="407"/>
        <v>1085</v>
      </c>
      <c r="Z130" s="186">
        <f t="shared" si="407"/>
        <v>1020</v>
      </c>
      <c r="AA130" s="995">
        <f t="shared" si="407"/>
        <v>4268</v>
      </c>
      <c r="AB130" s="186">
        <f t="shared" si="407"/>
        <v>1122</v>
      </c>
      <c r="AC130" s="186">
        <f t="shared" si="407"/>
        <v>1156</v>
      </c>
      <c r="AD130" s="186">
        <f t="shared" si="407"/>
        <v>1142</v>
      </c>
      <c r="AE130" s="186">
        <f t="shared" si="407"/>
        <v>1056</v>
      </c>
      <c r="AF130" s="995">
        <f t="shared" si="407"/>
        <v>4476</v>
      </c>
      <c r="AG130" s="186">
        <f t="shared" si="407"/>
        <v>1187</v>
      </c>
      <c r="AH130" s="186">
        <f t="shared" si="407"/>
        <v>1225</v>
      </c>
      <c r="AI130" s="186">
        <f t="shared" si="407"/>
        <v>1209</v>
      </c>
      <c r="AJ130" s="186">
        <f t="shared" si="407"/>
        <v>1133</v>
      </c>
      <c r="AK130" s="995">
        <f t="shared" si="407"/>
        <v>4754</v>
      </c>
      <c r="AL130" s="186">
        <f t="shared" si="407"/>
        <v>1203</v>
      </c>
      <c r="AM130" s="186">
        <f t="shared" si="407"/>
        <v>1242</v>
      </c>
      <c r="AN130" s="186">
        <f>(INDEX(MO_DAC_PAEIncurred,0,COLUMN())+INDEX(MO_DAC_ChangeInDAC,0,COLUMN()))</f>
        <v>1246</v>
      </c>
      <c r="AO130" s="186">
        <f t="shared" si="407"/>
        <v>1167</v>
      </c>
      <c r="AP130" s="995">
        <f t="shared" si="407"/>
        <v>4858</v>
      </c>
      <c r="AQ130" s="186">
        <f t="shared" si="407"/>
        <v>1260</v>
      </c>
      <c r="AR130" s="186">
        <f t="shared" si="408" ref="AR130:AW130">(INDEX(MO_DAC_PAEIncurred,0,COLUMN())+INDEX(MO_DAC_ChangeInDAC,0,COLUMN()))</f>
        <v>1344</v>
      </c>
      <c r="AS130" s="186">
        <f t="shared" si="408"/>
        <v>1350</v>
      </c>
      <c r="AT130" s="186">
        <f t="shared" si="408"/>
        <v>1273</v>
      </c>
      <c r="AU130" s="995">
        <f t="shared" si="408"/>
        <v>5227</v>
      </c>
      <c r="AV130" s="186">
        <f t="shared" si="408"/>
        <v>1413</v>
      </c>
      <c r="AW130" s="186">
        <f t="shared" si="408"/>
        <v>1496</v>
      </c>
      <c r="AX130" s="186">
        <f t="shared" si="409" ref="AX130:BC130">(INDEX(MO_DAC_PAEIncurred,0,COLUMN())+INDEX(MO_DAC_ChangeInDAC,0,COLUMN()))</f>
        <v>1488</v>
      </c>
      <c r="AY130" s="186">
        <f t="shared" si="409"/>
        <v>1412</v>
      </c>
      <c r="AZ130" s="995">
        <f t="shared" si="409"/>
        <v>5809</v>
      </c>
      <c r="BA130" s="186">
        <f t="shared" si="409"/>
        <v>1631</v>
      </c>
      <c r="BB130" s="186">
        <f t="shared" si="409"/>
        <v>1726</v>
      </c>
      <c r="BC130" s="186">
        <f t="shared" si="409"/>
        <v>1722</v>
      </c>
      <c r="BD130" s="186">
        <f>(INDEX(MO_DAC_PAEIncurred,0,COLUMN())+INDEX(MO_DAC_ChangeInDAC,0,COLUMN()))</f>
        <v>1617</v>
      </c>
      <c r="BE130" s="995">
        <f>(INDEX(MO_DAC_PAEIncurred,0,COLUMN())+INDEX(MO_DAC_ChangeInDAC,0,COLUMN()))</f>
        <v>6696</v>
      </c>
      <c r="BF130" s="186">
        <f>(INDEX(MO_DAC_PAEIncurred,0,COLUMN())+INDEX(MO_DAC_ChangeInDAC,0,COLUMN()))</f>
        <v>1772</v>
      </c>
      <c r="BG130" s="186">
        <f>(INDEX(MO_DAC_PAEIncurred,0,COLUMN())+INDEX(MO_DAC_ChangeInDAC,0,COLUMN()))</f>
        <v>1806</v>
      </c>
      <c r="BH130" s="746">
        <f>(INDEX(MO_DAC_PAEIncurred,0,COLUMN())+INDEX(MO_DAC_ChangeInDAC,0,COLUMN()))</f>
        <v>1861</v>
      </c>
      <c r="BI130" s="205">
        <f>INDEX(MO_UI_NWP,0,COLUMN())*INDEX(MO_DAC_PAEPayoutRatio,0,COLUMN())</f>
        <v>1706.7574259999999</v>
      </c>
      <c r="BJ130" s="996">
        <f>SUM(BF130,BG130,BH130,BI130)</f>
        <v>7145.7574260000001</v>
      </c>
      <c r="BK130" s="205">
        <f>INDEX(MO_UI_NWP,0,COLUMN())*INDEX(MO_DAC_PAEPayoutRatio,0,COLUMN())</f>
        <v>1839.9044895000002</v>
      </c>
      <c r="BL130" s="205">
        <f>INDEX(MO_UI_NWP,0,COLUMN())*INDEX(MO_DAC_PAEPayoutRatio,0,COLUMN())</f>
        <v>1937.2517422500005</v>
      </c>
      <c r="BM130" s="205">
        <f>INDEX(MO_UI_NWP,0,COLUMN())*INDEX(MO_DAC_PAEPayoutRatio,0,COLUMN())</f>
        <v>1985.4015637500002</v>
      </c>
      <c r="BN130" s="205">
        <f>INDEX(MO_UI_NWP,0,COLUMN())*INDEX(MO_DAC_PAEPayoutRatio,0,COLUMN())</f>
        <v>1778.5335308400001</v>
      </c>
      <c r="BO130" s="996">
        <f>SUM(BK130,BL130,BM130,BN130)</f>
        <v>7541.0913263400007</v>
      </c>
      <c r="BP130" s="996">
        <f>INDEX(MO_UI_NWP,0,COLUMN())*INDEX(MO_DAC_PAEPayoutRatio,0,COLUMN())</f>
        <v>7681.0354881776993</v>
      </c>
      <c r="BQ130" s="996">
        <f>INDEX(MO_UI_NWP,0,COLUMN())*INDEX(MO_DAC_PAEPayoutRatio,0,COLUMN())</f>
        <v>7957.5260006147873</v>
      </c>
      <c r="BR130" s="996">
        <f>INDEX(MO_UI_NWP,0,COLUMN())*INDEX(MO_DAC_PAEPayoutRatio,0,COLUMN())</f>
        <v>8247.4718576538362</v>
      </c>
      <c r="BS130" s="265"/>
    </row>
    <row r="131" spans="1:71" s="45" customFormat="1" ht="15" hidden="1" outlineLevel="1">
      <c r="A131" s="414" t="s">
        <v>536</v>
      </c>
      <c r="B131" s="463"/>
      <c r="C131" s="1009"/>
      <c r="D131" s="1008">
        <f t="shared" si="410" ref="D131:K131">D127-C127</f>
        <v>24</v>
      </c>
      <c r="E131" s="1008">
        <f t="shared" si="410"/>
        <v>4</v>
      </c>
      <c r="F131" s="1008">
        <f t="shared" si="410"/>
        <v>6</v>
      </c>
      <c r="G131" s="1008">
        <f t="shared" si="410"/>
        <v>12</v>
      </c>
      <c r="H131" s="185">
        <f t="shared" si="410"/>
        <v>32</v>
      </c>
      <c r="I131" s="185">
        <f t="shared" si="410"/>
        <v>43</v>
      </c>
      <c r="J131" s="185">
        <f t="shared" si="410"/>
        <v>11</v>
      </c>
      <c r="K131" s="185">
        <f t="shared" si="410"/>
        <v>-55</v>
      </c>
      <c r="L131" s="1008">
        <f>L127-G127</f>
        <v>31</v>
      </c>
      <c r="M131" s="185">
        <f>M127-L127</f>
        <v>12</v>
      </c>
      <c r="N131" s="185">
        <f>N127-M127</f>
        <v>44</v>
      </c>
      <c r="O131" s="185">
        <f>O127-N127</f>
        <v>13</v>
      </c>
      <c r="P131" s="185">
        <f>P127-O127</f>
        <v>-55</v>
      </c>
      <c r="Q131" s="1008">
        <f>Q127-L127</f>
        <v>14</v>
      </c>
      <c r="R131" s="185">
        <f>R127-Q127</f>
        <v>50</v>
      </c>
      <c r="S131" s="185">
        <f>S127-R127</f>
        <v>55</v>
      </c>
      <c r="T131" s="185">
        <f>T127-S127</f>
        <v>21</v>
      </c>
      <c r="U131" s="185">
        <f>U127-T127</f>
        <v>-52</v>
      </c>
      <c r="V131" s="1008">
        <f>V127-Q127</f>
        <v>74</v>
      </c>
      <c r="W131" s="185">
        <f>W127-V127</f>
        <v>64</v>
      </c>
      <c r="X131" s="185">
        <f>X127-W127</f>
        <v>64</v>
      </c>
      <c r="Y131" s="185">
        <f>Y127-X127</f>
        <v>26</v>
      </c>
      <c r="Z131" s="185">
        <f>Z127-Y127</f>
        <v>-52</v>
      </c>
      <c r="AA131" s="1008">
        <f>AA127-V127</f>
        <v>102</v>
      </c>
      <c r="AB131" s="185">
        <f>AB127-AA127</f>
        <v>61</v>
      </c>
      <c r="AC131" s="185">
        <f>AC127-AB127</f>
        <v>75</v>
      </c>
      <c r="AD131" s="185">
        <f>AD127-AC127</f>
        <v>25</v>
      </c>
      <c r="AE131" s="185">
        <f>AE127-AD127</f>
        <v>-66</v>
      </c>
      <c r="AF131" s="1008">
        <f>AF127-AA127</f>
        <v>95</v>
      </c>
      <c r="AG131" s="185">
        <f>AG127-AF127</f>
        <v>70</v>
      </c>
      <c r="AH131" s="185">
        <f>AH127-AG127</f>
        <v>91</v>
      </c>
      <c r="AI131" s="185">
        <f>AI127-AH127</f>
        <v>40</v>
      </c>
      <c r="AJ131" s="185">
        <f>AJ127-AI127</f>
        <v>-48</v>
      </c>
      <c r="AK131" s="1008">
        <f>AK127-AF127</f>
        <v>153</v>
      </c>
      <c r="AL131" s="185">
        <f>AL127-AK127</f>
        <v>25</v>
      </c>
      <c r="AM131" s="185">
        <f>AM127-AL127</f>
        <v>69</v>
      </c>
      <c r="AN131" s="185">
        <f>AN127-AM127</f>
        <v>39</v>
      </c>
      <c r="AO131" s="185">
        <f>AO127-AN127</f>
        <v>-48</v>
      </c>
      <c r="AP131" s="1008">
        <f>AP127-AK127</f>
        <v>85</v>
      </c>
      <c r="AQ131" s="185">
        <f>AQ127-AP127</f>
        <v>53</v>
      </c>
      <c r="AR131" s="185">
        <f>AR127-AQ127</f>
        <v>90</v>
      </c>
      <c r="AS131" s="185">
        <f>AS127-AR127</f>
        <v>69</v>
      </c>
      <c r="AT131" s="185">
        <f>AT127-AS127</f>
        <v>-28</v>
      </c>
      <c r="AU131" s="1008">
        <f>AU127-AP127</f>
        <v>184</v>
      </c>
      <c r="AV131" s="185">
        <f>AV127-AU127</f>
        <v>103</v>
      </c>
      <c r="AW131" s="185">
        <f>AW127-AV127</f>
        <v>131</v>
      </c>
      <c r="AX131" s="185">
        <f>AX127-AW127</f>
        <v>82</v>
      </c>
      <c r="AY131" s="185">
        <f>AY127-AX127</f>
        <v>-22</v>
      </c>
      <c r="AZ131" s="1008">
        <f>AZ127-AU127</f>
        <v>294</v>
      </c>
      <c r="BA131" s="185">
        <f>BA127-AZ127</f>
        <v>169</v>
      </c>
      <c r="BB131" s="185">
        <f>BB127-BA127</f>
        <v>207</v>
      </c>
      <c r="BC131" s="185">
        <f>BC127-BB127</f>
        <v>118</v>
      </c>
      <c r="BD131" s="185">
        <f>BD127-BC127</f>
        <v>-24</v>
      </c>
      <c r="BE131" s="1008">
        <f>BE127-AZ127</f>
        <v>470</v>
      </c>
      <c r="BF131" s="185">
        <f>BF127-BE127</f>
        <v>74</v>
      </c>
      <c r="BG131" s="185">
        <f>BG127-BF127</f>
        <v>128</v>
      </c>
      <c r="BH131" s="749">
        <f>BH127-BG127</f>
        <v>71</v>
      </c>
      <c r="BI131" s="199">
        <f>ROUND(INDEX(MO_DAC_PAEPaid,0,COLUMN())-INDEX(MO_DAC_PAEIncurred,0,COLUMN()),6)</f>
        <v>98.392065000000002</v>
      </c>
      <c r="BJ131" s="1009">
        <f>BJ127-BE127</f>
        <v>371.392065</v>
      </c>
      <c r="BK131" s="199">
        <f>ROUND(INDEX(MO_DAC_PAEPaid,0,COLUMN())-INDEX(MO_DAC_PAEIncurred,0,COLUMN()),6)</f>
        <v>60.603188000000003</v>
      </c>
      <c r="BL131" s="199">
        <f>ROUND(INDEX(MO_DAC_PAEPaid,0,COLUMN())-INDEX(MO_DAC_PAEIncurred,0,COLUMN()),6)</f>
        <v>35.225790000000003</v>
      </c>
      <c r="BM131" s="199">
        <f>ROUND(INDEX(MO_DAC_PAEPaid,0,COLUMN())-INDEX(MO_DAC_PAEIncurred,0,COLUMN()),6)</f>
        <v>36.500573000000003</v>
      </c>
      <c r="BN131" s="199">
        <f>ROUND(INDEX(MO_DAC_PAEPaid,0,COLUMN())-INDEX(MO_DAC_PAEIncurred,0,COLUMN()),6)</f>
        <v>103.40116500000001</v>
      </c>
      <c r="BO131" s="1009">
        <f>BO127-BJ127</f>
        <v>235.73071600000003</v>
      </c>
      <c r="BP131" s="1009">
        <f>ROUND(INDEX(MO_DAC_PAEPaid,0,COLUMN())-INDEX(MO_DAC_PAEIncurred,0,COLUMN()),6)</f>
        <v>322.12838900000003</v>
      </c>
      <c r="BQ131" s="1009">
        <f>ROUND(INDEX(MO_DAC_PAEPaid,0,COLUMN())-INDEX(MO_DAC_PAEIncurred,0,COLUMN()),6)</f>
        <v>642.56288500000005</v>
      </c>
      <c r="BR131" s="1009">
        <f>ROUND(INDEX(MO_DAC_PAEPaid,0,COLUMN())-INDEX(MO_DAC_PAEIncurred,0,COLUMN()),6)</f>
        <v>350.30173400000001</v>
      </c>
      <c r="BS131" s="185"/>
    </row>
    <row r="132" spans="1:71" s="24" customFormat="1" ht="15" hidden="1" outlineLevel="1">
      <c r="A132" s="464"/>
      <c r="B132" s="462"/>
      <c r="C132" s="1011"/>
      <c r="D132" s="1011"/>
      <c r="E132" s="1011"/>
      <c r="F132" s="1011"/>
      <c r="G132" s="1011"/>
      <c r="H132" s="857"/>
      <c r="I132" s="857"/>
      <c r="J132" s="857"/>
      <c r="K132" s="857"/>
      <c r="L132" s="1011"/>
      <c r="M132" s="857"/>
      <c r="N132" s="857"/>
      <c r="O132" s="857"/>
      <c r="P132" s="857"/>
      <c r="Q132" s="1011"/>
      <c r="R132" s="857"/>
      <c r="S132" s="857"/>
      <c r="T132" s="857"/>
      <c r="U132" s="857"/>
      <c r="V132" s="1011"/>
      <c r="W132" s="857"/>
      <c r="X132" s="857"/>
      <c r="Y132" s="857"/>
      <c r="Z132" s="857"/>
      <c r="AA132" s="1011"/>
      <c r="AB132" s="857"/>
      <c r="AC132" s="857"/>
      <c r="AD132" s="857"/>
      <c r="AE132" s="857"/>
      <c r="AF132" s="1011"/>
      <c r="AG132" s="857"/>
      <c r="AH132" s="857"/>
      <c r="AI132" s="857"/>
      <c r="AJ132" s="857"/>
      <c r="AK132" s="1011"/>
      <c r="AL132" s="857"/>
      <c r="AM132" s="857"/>
      <c r="AN132" s="857"/>
      <c r="AO132" s="857"/>
      <c r="AP132" s="1011"/>
      <c r="AQ132" s="857"/>
      <c r="AR132" s="857"/>
      <c r="AS132" s="857"/>
      <c r="AT132" s="857"/>
      <c r="AU132" s="1011"/>
      <c r="AV132" s="857"/>
      <c r="AW132" s="857"/>
      <c r="AX132" s="857"/>
      <c r="AY132" s="857"/>
      <c r="AZ132" s="1011"/>
      <c r="BA132" s="857"/>
      <c r="BB132" s="857"/>
      <c r="BC132" s="857"/>
      <c r="BD132" s="857"/>
      <c r="BE132" s="1011"/>
      <c r="BF132" s="857"/>
      <c r="BG132" s="857"/>
      <c r="BH132" s="858"/>
      <c r="BI132" s="857"/>
      <c r="BJ132" s="1011"/>
      <c r="BK132" s="857"/>
      <c r="BL132" s="857"/>
      <c r="BM132" s="857"/>
      <c r="BN132" s="857"/>
      <c r="BO132" s="1011"/>
      <c r="BP132" s="1011"/>
      <c r="BQ132" s="1011"/>
      <c r="BR132" s="1011"/>
      <c r="BS132" s="833"/>
    </row>
    <row r="133" spans="1:71" s="182" customFormat="1" ht="15" hidden="1" outlineLevel="1">
      <c r="A133" s="413" t="s">
        <v>537</v>
      </c>
      <c r="B133" s="466"/>
      <c r="C133" s="1024">
        <f t="shared" si="411" ref="C133:AR133">C130/C26</f>
        <v>0.17871203599550056</v>
      </c>
      <c r="D133" s="1024">
        <f t="shared" si="411"/>
        <v>0.17684307834527385</v>
      </c>
      <c r="E133" s="1024">
        <f t="shared" si="411"/>
        <v>0.17487718033082436</v>
      </c>
      <c r="F133" s="1024">
        <f t="shared" si="411"/>
        <v>0.17445538379293446</v>
      </c>
      <c r="G133" s="1024">
        <f t="shared" si="411"/>
        <v>0.16835771072165853</v>
      </c>
      <c r="H133" s="662">
        <f t="shared" si="411"/>
        <v>0.16720585731312787</v>
      </c>
      <c r="I133" s="662">
        <f t="shared" si="411"/>
        <v>0.16342412451361868</v>
      </c>
      <c r="J133" s="662">
        <f t="shared" si="411"/>
        <v>0.16492623901873033</v>
      </c>
      <c r="K133" s="662">
        <f t="shared" si="411"/>
        <v>0.15901302261823166</v>
      </c>
      <c r="L133" s="1024">
        <f t="shared" si="411"/>
        <v>0.16365537432036806</v>
      </c>
      <c r="M133" s="662">
        <f t="shared" si="411"/>
        <v>0.16533830761404103</v>
      </c>
      <c r="N133" s="662">
        <f t="shared" si="411"/>
        <v>0.16323553250121575</v>
      </c>
      <c r="O133" s="662">
        <f t="shared" si="411"/>
        <v>0.16152479405588757</v>
      </c>
      <c r="P133" s="662">
        <f t="shared" si="411"/>
        <v>0.15637789904502047</v>
      </c>
      <c r="Q133" s="1024">
        <f t="shared" si="411"/>
        <v>0.16164338128601632</v>
      </c>
      <c r="R133" s="662">
        <f t="shared" si="411"/>
        <v>0.16558546869931884</v>
      </c>
      <c r="S133" s="662">
        <f t="shared" si="411"/>
        <v>0.16453900709219857</v>
      </c>
      <c r="T133" s="662">
        <f t="shared" si="411"/>
        <v>0.16168414462357175</v>
      </c>
      <c r="U133" s="662">
        <f t="shared" si="411"/>
        <v>0.15863321228128094</v>
      </c>
      <c r="V133" s="1024">
        <f t="shared" si="411"/>
        <v>0.16263322381601089</v>
      </c>
      <c r="W133" s="662">
        <f t="shared" si="411"/>
        <v>0.16428021555042341</v>
      </c>
      <c r="X133" s="662">
        <f t="shared" si="411"/>
        <v>0.16506024096385541</v>
      </c>
      <c r="Y133" s="662">
        <f t="shared" si="411"/>
        <v>0.1629129129129129</v>
      </c>
      <c r="Z133" s="662">
        <f t="shared" si="411"/>
        <v>0.15877957658779576</v>
      </c>
      <c r="AA133" s="1024">
        <f t="shared" si="411"/>
        <v>0.16278271482512682</v>
      </c>
      <c r="AB133" s="662">
        <f t="shared" si="411"/>
        <v>0.16441969519343494</v>
      </c>
      <c r="AC133" s="662">
        <f t="shared" si="411"/>
        <v>0.16210910110783902</v>
      </c>
      <c r="AD133" s="662">
        <f t="shared" si="411"/>
        <v>0.16171056357972247</v>
      </c>
      <c r="AE133" s="662">
        <f t="shared" si="411"/>
        <v>0.15782394260947541</v>
      </c>
      <c r="AF133" s="1024">
        <f t="shared" si="411"/>
        <v>0.16154179298397575</v>
      </c>
      <c r="AG133" s="662">
        <f t="shared" si="411"/>
        <v>0.16820178546124415</v>
      </c>
      <c r="AH133" s="662">
        <f t="shared" si="411"/>
        <v>0.16442953020134229</v>
      </c>
      <c r="AI133" s="662">
        <f t="shared" si="411"/>
        <v>0.15973047958779232</v>
      </c>
      <c r="AJ133" s="662">
        <f t="shared" si="411"/>
        <v>0.16014134275618375</v>
      </c>
      <c r="AK133" s="1024">
        <f t="shared" si="411"/>
        <v>0.16308188398339679</v>
      </c>
      <c r="AL133" s="662">
        <f t="shared" si="411"/>
        <v>0.16376259188674108</v>
      </c>
      <c r="AM133" s="662">
        <f t="shared" si="411"/>
        <v>0.16907160359379253</v>
      </c>
      <c r="AN133" s="662">
        <f t="shared" si="411"/>
        <v>0.16033972461716639</v>
      </c>
      <c r="AO133" s="662">
        <f t="shared" si="411"/>
        <v>0.16054477919933965</v>
      </c>
      <c r="AP133" s="1024">
        <f t="shared" si="411"/>
        <v>0.16339297726355442</v>
      </c>
      <c r="AQ133" s="662">
        <f t="shared" si="411"/>
        <v>0.16788807461692204</v>
      </c>
      <c r="AR133" s="662">
        <f t="shared" si="411"/>
        <v>0.16521204671173939</v>
      </c>
      <c r="AS133" s="662">
        <f t="shared" si="412" ref="AS133:AX133">AS130/AS26</f>
        <v>0.16218164344065353</v>
      </c>
      <c r="AT133" s="662">
        <f t="shared" si="412"/>
        <v>0.15908522869282679</v>
      </c>
      <c r="AU133" s="1024">
        <f t="shared" si="412"/>
        <v>0.16351748733028842</v>
      </c>
      <c r="AV133" s="662">
        <f t="shared" si="412"/>
        <v>0.16887773395482253</v>
      </c>
      <c r="AW133" s="662">
        <f t="shared" si="412"/>
        <v>0.16585365853658537</v>
      </c>
      <c r="AX133" s="662">
        <f t="shared" si="412"/>
        <v>0.16177429876060012</v>
      </c>
      <c r="AY133" s="662">
        <f t="shared" si="413" ref="AY133:BE133">AY130/AY26</f>
        <v>0.1599275116094688</v>
      </c>
      <c r="AZ133" s="1024">
        <f t="shared" si="413"/>
        <v>0.16403117411193313</v>
      </c>
      <c r="BA133" s="662">
        <f t="shared" si="413"/>
        <v>0.17358450404427417</v>
      </c>
      <c r="BB133" s="662">
        <f t="shared" si="413"/>
        <v>0.16728048071331653</v>
      </c>
      <c r="BC133" s="662">
        <f t="shared" si="413"/>
        <v>0.16410940627084722</v>
      </c>
      <c r="BD133" s="662">
        <f t="shared" si="413"/>
        <v>0.16179707824694817</v>
      </c>
      <c r="BE133" s="1024">
        <f t="shared" si="413"/>
        <v>0.16656302082037761</v>
      </c>
      <c r="BF133" s="662">
        <f>BF130/BF26</f>
        <v>0.17399842890809111</v>
      </c>
      <c r="BG133" s="662">
        <f>BG130/BG26</f>
        <v>0.16248313090418354</v>
      </c>
      <c r="BH133" s="760">
        <f>BH130/BH26</f>
        <v>0.16444287355306175</v>
      </c>
      <c r="BI133" s="915">
        <v>0.165</v>
      </c>
      <c r="BJ133" s="1022">
        <f>BJ130/BJ26</f>
        <v>0.16633519601557398</v>
      </c>
      <c r="BK133" s="915">
        <v>0.165</v>
      </c>
      <c r="BL133" s="915">
        <v>0.165</v>
      </c>
      <c r="BM133" s="915">
        <v>0.165</v>
      </c>
      <c r="BN133" s="915">
        <v>0.165</v>
      </c>
      <c r="BO133" s="1022">
        <f>BO130/BO26</f>
        <v>0.16499999999999998</v>
      </c>
      <c r="BP133" s="1025">
        <v>0.165</v>
      </c>
      <c r="BQ133" s="1025">
        <v>0.165</v>
      </c>
      <c r="BR133" s="1025">
        <v>0.165</v>
      </c>
      <c r="BS133" s="662"/>
    </row>
    <row r="134" spans="1:71" s="24" customFormat="1" ht="15" collapsed="1">
      <c r="A134" s="449"/>
      <c r="B134" s="462"/>
      <c r="C134" s="1011"/>
      <c r="D134" s="1011"/>
      <c r="E134" s="1011"/>
      <c r="F134" s="1011"/>
      <c r="G134" s="1011"/>
      <c r="H134" s="857"/>
      <c r="I134" s="857"/>
      <c r="J134" s="857"/>
      <c r="K134" s="857"/>
      <c r="L134" s="1011"/>
      <c r="M134" s="857"/>
      <c r="N134" s="857"/>
      <c r="O134" s="857"/>
      <c r="P134" s="857"/>
      <c r="Q134" s="1011"/>
      <c r="R134" s="857"/>
      <c r="S134" s="857"/>
      <c r="T134" s="857"/>
      <c r="U134" s="857"/>
      <c r="V134" s="1011"/>
      <c r="W134" s="857"/>
      <c r="X134" s="857"/>
      <c r="Y134" s="857"/>
      <c r="Z134" s="857"/>
      <c r="AA134" s="1011"/>
      <c r="AB134" s="857"/>
      <c r="AC134" s="857"/>
      <c r="AD134" s="857"/>
      <c r="AE134" s="857"/>
      <c r="AF134" s="1011"/>
      <c r="AG134" s="857"/>
      <c r="AH134" s="857"/>
      <c r="AI134" s="857"/>
      <c r="AJ134" s="857"/>
      <c r="AK134" s="1011"/>
      <c r="AL134" s="857"/>
      <c r="AM134" s="857"/>
      <c r="AN134" s="857"/>
      <c r="AO134" s="857"/>
      <c r="AP134" s="1011"/>
      <c r="AQ134" s="857"/>
      <c r="AR134" s="857"/>
      <c r="AS134" s="857"/>
      <c r="AT134" s="857"/>
      <c r="AU134" s="1011"/>
      <c r="AV134" s="857"/>
      <c r="AW134" s="857"/>
      <c r="AX134" s="857"/>
      <c r="AY134" s="857"/>
      <c r="AZ134" s="1011"/>
      <c r="BA134" s="857"/>
      <c r="BB134" s="857"/>
      <c r="BC134" s="857"/>
      <c r="BD134" s="857"/>
      <c r="BE134" s="1011"/>
      <c r="BF134" s="857"/>
      <c r="BG134" s="857"/>
      <c r="BH134" s="858"/>
      <c r="BI134" s="857"/>
      <c r="BJ134" s="1011"/>
      <c r="BK134" s="857"/>
      <c r="BL134" s="857"/>
      <c r="BM134" s="857"/>
      <c r="BN134" s="857"/>
      <c r="BO134" s="1011"/>
      <c r="BP134" s="1011"/>
      <c r="BQ134" s="1011"/>
      <c r="BR134" s="1011"/>
      <c r="BS134" s="833"/>
    </row>
    <row r="135" spans="1:71" s="181" customFormat="1" ht="15">
      <c r="A135" s="826" t="s">
        <v>81</v>
      </c>
      <c r="B135" s="826"/>
      <c r="C135" s="847"/>
      <c r="D135" s="847"/>
      <c r="E135" s="847"/>
      <c r="F135" s="847"/>
      <c r="G135" s="847"/>
      <c r="H135" s="847"/>
      <c r="I135" s="847"/>
      <c r="J135" s="847"/>
      <c r="K135" s="847"/>
      <c r="L135" s="847"/>
      <c r="M135" s="847"/>
      <c r="N135" s="847"/>
      <c r="O135" s="847"/>
      <c r="P135" s="847"/>
      <c r="Q135" s="847"/>
      <c r="R135" s="847"/>
      <c r="S135" s="847"/>
      <c r="T135" s="847"/>
      <c r="U135" s="847"/>
      <c r="V135" s="847"/>
      <c r="W135" s="847"/>
      <c r="X135" s="847"/>
      <c r="Y135" s="847"/>
      <c r="Z135" s="847"/>
      <c r="AA135" s="847"/>
      <c r="AB135" s="847"/>
      <c r="AC135" s="847"/>
      <c r="AD135" s="847"/>
      <c r="AE135" s="847"/>
      <c r="AF135" s="847"/>
      <c r="AG135" s="847"/>
      <c r="AH135" s="847"/>
      <c r="AI135" s="847"/>
      <c r="AJ135" s="847"/>
      <c r="AK135" s="847"/>
      <c r="AL135" s="847"/>
      <c r="AM135" s="847"/>
      <c r="AN135" s="847"/>
      <c r="AO135" s="847"/>
      <c r="AP135" s="847"/>
      <c r="AQ135" s="847"/>
      <c r="AR135" s="847"/>
      <c r="AS135" s="847"/>
      <c r="AT135" s="847"/>
      <c r="AU135" s="847"/>
      <c r="AV135" s="847"/>
      <c r="AW135" s="847"/>
      <c r="AX135" s="847"/>
      <c r="AY135" s="847"/>
      <c r="AZ135" s="847"/>
      <c r="BA135" s="847"/>
      <c r="BB135" s="847"/>
      <c r="BC135" s="847"/>
      <c r="BD135" s="847"/>
      <c r="BE135" s="847"/>
      <c r="BF135" s="847"/>
      <c r="BG135" s="847"/>
      <c r="BH135" s="848"/>
      <c r="BI135" s="847"/>
      <c r="BJ135" s="847"/>
      <c r="BK135" s="847"/>
      <c r="BL135" s="847"/>
      <c r="BM135" s="847"/>
      <c r="BN135" s="847"/>
      <c r="BO135" s="847"/>
      <c r="BP135" s="847"/>
      <c r="BQ135" s="847"/>
      <c r="BR135" s="847"/>
      <c r="BS135" s="423"/>
    </row>
    <row r="136" spans="1:71" s="24" customFormat="1" ht="15" hidden="1" outlineLevel="1">
      <c r="A136" s="263" t="s">
        <v>82</v>
      </c>
      <c r="B136" s="445"/>
      <c r="C136" s="993">
        <f t="shared" si="414" ref="C136:AM136">C647</f>
        <v>10861</v>
      </c>
      <c r="D136" s="993">
        <f t="shared" si="414"/>
        <v>10921</v>
      </c>
      <c r="E136" s="993">
        <f t="shared" si="414"/>
        <v>11102</v>
      </c>
      <c r="F136" s="993">
        <f t="shared" si="414"/>
        <v>11241</v>
      </c>
      <c r="G136" s="993">
        <f t="shared" si="414"/>
        <v>11850</v>
      </c>
      <c r="H136" s="265">
        <f t="shared" si="414"/>
        <v>11917</v>
      </c>
      <c r="I136" s="265">
        <f t="shared" si="414"/>
        <v>12089</v>
      </c>
      <c r="J136" s="265">
        <f t="shared" si="414"/>
        <v>12181</v>
      </c>
      <c r="K136" s="265">
        <f t="shared" si="414"/>
        <v>11839</v>
      </c>
      <c r="L136" s="993">
        <f t="shared" si="414"/>
        <v>11839</v>
      </c>
      <c r="M136" s="265">
        <f t="shared" si="414"/>
        <v>11954</v>
      </c>
      <c r="N136" s="265">
        <f t="shared" si="414"/>
        <v>12153</v>
      </c>
      <c r="O136" s="265">
        <f t="shared" si="414"/>
        <v>12284</v>
      </c>
      <c r="P136" s="265">
        <f t="shared" si="414"/>
        <v>11971</v>
      </c>
      <c r="Q136" s="993">
        <f t="shared" si="414"/>
        <v>11971</v>
      </c>
      <c r="R136" s="265">
        <f t="shared" si="414"/>
        <v>12331</v>
      </c>
      <c r="S136" s="265">
        <f t="shared" si="414"/>
        <v>12520</v>
      </c>
      <c r="T136" s="265">
        <f t="shared" si="414"/>
        <v>12706</v>
      </c>
      <c r="U136" s="265">
        <f t="shared" si="414"/>
        <v>12329</v>
      </c>
      <c r="V136" s="993">
        <f t="shared" si="414"/>
        <v>12329</v>
      </c>
      <c r="W136" s="265">
        <f t="shared" si="414"/>
        <v>12814</v>
      </c>
      <c r="X136" s="265">
        <f t="shared" si="414"/>
        <v>13052</v>
      </c>
      <c r="Y136" s="265">
        <f t="shared" si="414"/>
        <v>13247</v>
      </c>
      <c r="Z136" s="265">
        <f t="shared" si="414"/>
        <v>12915</v>
      </c>
      <c r="AA136" s="993">
        <f t="shared" si="414"/>
        <v>12915</v>
      </c>
      <c r="AB136" s="265">
        <f t="shared" si="414"/>
        <v>13424</v>
      </c>
      <c r="AC136" s="265">
        <f t="shared" si="414"/>
        <v>13755</v>
      </c>
      <c r="AD136" s="265">
        <f t="shared" si="414"/>
        <v>13979</v>
      </c>
      <c r="AE136" s="265">
        <f t="shared" si="414"/>
        <v>13555</v>
      </c>
      <c r="AF136" s="993">
        <f t="shared" si="414"/>
        <v>13555</v>
      </c>
      <c r="AG136" s="265">
        <f t="shared" si="414"/>
        <v>14122</v>
      </c>
      <c r="AH136" s="265">
        <f t="shared" si="414"/>
        <v>14538</v>
      </c>
      <c r="AI136" s="265">
        <f t="shared" si="414"/>
        <v>14912</v>
      </c>
      <c r="AJ136" s="265">
        <f t="shared" si="414"/>
        <v>14604</v>
      </c>
      <c r="AK136" s="993">
        <f t="shared" si="414"/>
        <v>14604</v>
      </c>
      <c r="AL136" s="265">
        <f t="shared" si="414"/>
        <v>14941</v>
      </c>
      <c r="AM136" s="265">
        <f t="shared" si="414"/>
        <v>15198</v>
      </c>
      <c r="AN136" s="265">
        <f>AN647</f>
        <v>15542</v>
      </c>
      <c r="AO136" s="265">
        <f t="shared" si="415" ref="AO136:AQ136">AO647</f>
        <v>15222</v>
      </c>
      <c r="AP136" s="993">
        <f t="shared" si="415"/>
        <v>15222</v>
      </c>
      <c r="AQ136" s="265">
        <f t="shared" si="415"/>
        <v>15742</v>
      </c>
      <c r="AR136" s="265">
        <f t="shared" si="416" ref="AR136:AW136">AR647</f>
        <v>16210</v>
      </c>
      <c r="AS136" s="265">
        <f t="shared" si="416"/>
        <v>16677</v>
      </c>
      <c r="AT136" s="265">
        <f t="shared" si="416"/>
        <v>16469</v>
      </c>
      <c r="AU136" s="993">
        <f t="shared" si="416"/>
        <v>16469</v>
      </c>
      <c r="AV136" s="265">
        <f t="shared" si="416"/>
        <v>17193</v>
      </c>
      <c r="AW136" s="265">
        <f t="shared" si="416"/>
        <v>17811</v>
      </c>
      <c r="AX136" s="265">
        <f t="shared" si="417" ref="AX136:BC136">AX647</f>
        <v>18364</v>
      </c>
      <c r="AY136" s="265">
        <f t="shared" si="417"/>
        <v>18240</v>
      </c>
      <c r="AZ136" s="993">
        <f t="shared" si="417"/>
        <v>18240</v>
      </c>
      <c r="BA136" s="265">
        <f t="shared" si="417"/>
        <v>19143</v>
      </c>
      <c r="BB136" s="265">
        <f t="shared" si="417"/>
        <v>20214</v>
      </c>
      <c r="BC136" s="265">
        <f t="shared" si="417"/>
        <v>21058</v>
      </c>
      <c r="BD136" s="265">
        <f>BD647</f>
        <v>20872</v>
      </c>
      <c r="BE136" s="993">
        <f>BE647</f>
        <v>20872</v>
      </c>
      <c r="BF136" s="265">
        <f>BF647</f>
        <v>21307</v>
      </c>
      <c r="BG136" s="265">
        <f>BG647</f>
        <v>22090</v>
      </c>
      <c r="BH136" s="745">
        <f>BH647</f>
        <v>22783</v>
      </c>
      <c r="BI136" s="210">
        <f>BH136+BI140</f>
        <v>22946.4768</v>
      </c>
      <c r="BJ136" s="994">
        <f>BI136</f>
        <v>22946.4768</v>
      </c>
      <c r="BK136" s="210">
        <f t="shared" si="418" ref="BK136:BN137">BJ136+BK140</f>
        <v>23307.745800000001</v>
      </c>
      <c r="BL136" s="210">
        <f t="shared" si="418"/>
        <v>23489.3665</v>
      </c>
      <c r="BM136" s="210">
        <f t="shared" si="418"/>
        <v>23675.941999999999</v>
      </c>
      <c r="BN136" s="210">
        <f t="shared" si="418"/>
        <v>23845.595421999999</v>
      </c>
      <c r="BO136" s="994">
        <f>BN136</f>
        <v>23845.595421999999</v>
      </c>
      <c r="BP136" s="994">
        <f t="shared" si="419" ref="BP136:BR137">BO136+BP140</f>
        <v>25425.187618</v>
      </c>
      <c r="BQ136" s="994">
        <f t="shared" si="419"/>
        <v>27070.976595</v>
      </c>
      <c r="BR136" s="994">
        <f t="shared" si="419"/>
        <v>28786.362159</v>
      </c>
      <c r="BS136" s="833"/>
    </row>
    <row r="137" spans="1:71" s="24" customFormat="1" ht="15" hidden="1" outlineLevel="1">
      <c r="A137" s="60" t="s">
        <v>83</v>
      </c>
      <c r="B137" s="446"/>
      <c r="C137" s="995">
        <f t="shared" si="420" ref="C137:AM137">C636</f>
        <v>916</v>
      </c>
      <c r="D137" s="995">
        <f t="shared" si="420"/>
        <v>813</v>
      </c>
      <c r="E137" s="995">
        <f t="shared" si="420"/>
        <v>828</v>
      </c>
      <c r="F137" s="995">
        <f t="shared" si="420"/>
        <v>856</v>
      </c>
      <c r="G137" s="995">
        <f t="shared" si="420"/>
        <v>801</v>
      </c>
      <c r="H137" s="186">
        <f t="shared" si="420"/>
        <v>851</v>
      </c>
      <c r="I137" s="186">
        <f t="shared" si="420"/>
        <v>762</v>
      </c>
      <c r="J137" s="186">
        <f t="shared" si="420"/>
        <v>848</v>
      </c>
      <c r="K137" s="186">
        <f t="shared" si="420"/>
        <v>678</v>
      </c>
      <c r="L137" s="995">
        <f t="shared" si="420"/>
        <v>678</v>
      </c>
      <c r="M137" s="186">
        <f t="shared" si="420"/>
        <v>830</v>
      </c>
      <c r="N137" s="186">
        <f t="shared" si="420"/>
        <v>782</v>
      </c>
      <c r="O137" s="186">
        <f t="shared" si="420"/>
        <v>789</v>
      </c>
      <c r="P137" s="186">
        <f t="shared" si="420"/>
        <v>656</v>
      </c>
      <c r="Q137" s="995">
        <f t="shared" si="420"/>
        <v>656</v>
      </c>
      <c r="R137" s="186">
        <f t="shared" si="420"/>
        <v>805</v>
      </c>
      <c r="S137" s="186">
        <f t="shared" si="420"/>
        <v>726</v>
      </c>
      <c r="T137" s="186">
        <f t="shared" si="420"/>
        <v>741</v>
      </c>
      <c r="U137" s="186">
        <f t="shared" si="420"/>
        <v>589</v>
      </c>
      <c r="V137" s="995">
        <f t="shared" si="420"/>
        <v>589</v>
      </c>
      <c r="W137" s="186">
        <f t="shared" si="420"/>
        <v>745</v>
      </c>
      <c r="X137" s="186">
        <f t="shared" si="420"/>
        <v>665</v>
      </c>
      <c r="Y137" s="186">
        <f t="shared" si="420"/>
        <v>688</v>
      </c>
      <c r="Z137" s="186">
        <f t="shared" si="420"/>
        <v>551</v>
      </c>
      <c r="AA137" s="995">
        <f t="shared" si="420"/>
        <v>551</v>
      </c>
      <c r="AB137" s="186">
        <f t="shared" si="420"/>
        <v>777</v>
      </c>
      <c r="AC137" s="186">
        <f t="shared" si="420"/>
        <v>698</v>
      </c>
      <c r="AD137" s="186">
        <f t="shared" si="420"/>
        <v>715</v>
      </c>
      <c r="AE137" s="186">
        <f t="shared" si="420"/>
        <v>578</v>
      </c>
      <c r="AF137" s="995">
        <f t="shared" si="420"/>
        <v>578</v>
      </c>
      <c r="AG137" s="186">
        <f t="shared" si="420"/>
        <v>935</v>
      </c>
      <c r="AH137" s="186">
        <f t="shared" si="420"/>
        <v>864</v>
      </c>
      <c r="AI137" s="186">
        <f t="shared" si="420"/>
        <v>857</v>
      </c>
      <c r="AJ137" s="186">
        <f t="shared" si="420"/>
        <v>689</v>
      </c>
      <c r="AK137" s="995">
        <f t="shared" si="420"/>
        <v>689</v>
      </c>
      <c r="AL137" s="186">
        <f t="shared" si="420"/>
        <v>1030</v>
      </c>
      <c r="AM137" s="186">
        <f t="shared" si="420"/>
        <v>945</v>
      </c>
      <c r="AN137" s="186">
        <f>AN636</f>
        <v>902</v>
      </c>
      <c r="AO137" s="186">
        <f t="shared" si="421" ref="AO137:AQ137">AO636</f>
        <v>772</v>
      </c>
      <c r="AP137" s="995">
        <f t="shared" si="421"/>
        <v>772</v>
      </c>
      <c r="AQ137" s="186">
        <f t="shared" si="421"/>
        <v>1165</v>
      </c>
      <c r="AR137" s="186">
        <f t="shared" si="422" ref="AR137:AW137">AR636</f>
        <v>1080</v>
      </c>
      <c r="AS137" s="186">
        <f t="shared" si="422"/>
        <v>1084</v>
      </c>
      <c r="AT137" s="186">
        <f t="shared" si="422"/>
        <v>902</v>
      </c>
      <c r="AU137" s="995">
        <f t="shared" si="422"/>
        <v>902</v>
      </c>
      <c r="AV137" s="186">
        <f t="shared" si="422"/>
        <v>1266</v>
      </c>
      <c r="AW137" s="186">
        <f t="shared" si="422"/>
        <v>1196</v>
      </c>
      <c r="AX137" s="186">
        <f t="shared" si="423" ref="AX137:BC137">AX636</f>
        <v>1199</v>
      </c>
      <c r="AY137" s="186">
        <f t="shared" si="423"/>
        <v>1024</v>
      </c>
      <c r="AZ137" s="995">
        <f t="shared" si="423"/>
        <v>1024</v>
      </c>
      <c r="BA137" s="186">
        <f t="shared" si="423"/>
        <v>1360</v>
      </c>
      <c r="BB137" s="186">
        <f t="shared" si="423"/>
        <v>1302</v>
      </c>
      <c r="BC137" s="186">
        <f t="shared" si="423"/>
        <v>1389</v>
      </c>
      <c r="BD137" s="186">
        <f>BD636</f>
        <v>1150</v>
      </c>
      <c r="BE137" s="995">
        <f>BE636</f>
        <v>1150</v>
      </c>
      <c r="BF137" s="186">
        <f>BF636</f>
        <v>1535</v>
      </c>
      <c r="BG137" s="186">
        <f>BG636</f>
        <v>1445</v>
      </c>
      <c r="BH137" s="746">
        <f>BH636</f>
        <v>1502</v>
      </c>
      <c r="BI137" s="205">
        <f>BH137+BI141</f>
        <v>1510.995306</v>
      </c>
      <c r="BJ137" s="996">
        <f>BI137</f>
        <v>1510.995306</v>
      </c>
      <c r="BK137" s="205">
        <f t="shared" si="418"/>
        <v>1527.7875320000001</v>
      </c>
      <c r="BL137" s="205">
        <f t="shared" si="418"/>
        <v>1537.731168</v>
      </c>
      <c r="BM137" s="205">
        <f t="shared" si="418"/>
        <v>1547.8816380000001</v>
      </c>
      <c r="BN137" s="205">
        <f t="shared" si="418"/>
        <v>1557.1722500000001</v>
      </c>
      <c r="BO137" s="996">
        <f>BN137</f>
        <v>1557.1722500000001</v>
      </c>
      <c r="BP137" s="996">
        <f t="shared" si="419"/>
        <v>1642.2779190000001</v>
      </c>
      <c r="BQ137" s="996">
        <f t="shared" si="419"/>
        <v>1729.832701</v>
      </c>
      <c r="BR137" s="996">
        <f t="shared" si="419"/>
        <v>1819.9343690000001</v>
      </c>
      <c r="BS137" s="833"/>
    </row>
    <row r="138" spans="1:71" s="181" customFormat="1" ht="15" hidden="1" outlineLevel="1">
      <c r="A138" s="333" t="s">
        <v>84</v>
      </c>
      <c r="B138" s="447"/>
      <c r="C138" s="997">
        <f t="shared" si="424" ref="C138:AQ138">ROUND(INDEX(MO_UPR_GUPR,0,COLUMN())-INDEX(MO_UPR_CUP,0,COLUMN()),6)</f>
        <v>9945</v>
      </c>
      <c r="D138" s="997">
        <f t="shared" si="424"/>
        <v>10108</v>
      </c>
      <c r="E138" s="997">
        <f t="shared" si="424"/>
        <v>10274</v>
      </c>
      <c r="F138" s="997">
        <f t="shared" si="424"/>
        <v>10385</v>
      </c>
      <c r="G138" s="997">
        <f t="shared" si="424"/>
        <v>11049</v>
      </c>
      <c r="H138" s="193">
        <f t="shared" si="424"/>
        <v>11066</v>
      </c>
      <c r="I138" s="193">
        <f t="shared" si="424"/>
        <v>11327</v>
      </c>
      <c r="J138" s="193">
        <f t="shared" si="424"/>
        <v>11333</v>
      </c>
      <c r="K138" s="193">
        <f t="shared" si="424"/>
        <v>11161</v>
      </c>
      <c r="L138" s="997">
        <f t="shared" si="424"/>
        <v>11161</v>
      </c>
      <c r="M138" s="193">
        <f t="shared" si="424"/>
        <v>11124</v>
      </c>
      <c r="N138" s="193">
        <f t="shared" si="424"/>
        <v>11371</v>
      </c>
      <c r="O138" s="193">
        <f t="shared" si="424"/>
        <v>11495</v>
      </c>
      <c r="P138" s="193">
        <f t="shared" si="424"/>
        <v>11315</v>
      </c>
      <c r="Q138" s="997">
        <f t="shared" si="424"/>
        <v>11315</v>
      </c>
      <c r="R138" s="193">
        <f t="shared" si="424"/>
        <v>11526</v>
      </c>
      <c r="S138" s="193">
        <f t="shared" si="424"/>
        <v>11794</v>
      </c>
      <c r="T138" s="193">
        <f t="shared" si="424"/>
        <v>11965</v>
      </c>
      <c r="U138" s="193">
        <f t="shared" si="424"/>
        <v>11740</v>
      </c>
      <c r="V138" s="997">
        <f t="shared" si="424"/>
        <v>11740</v>
      </c>
      <c r="W138" s="193">
        <f t="shared" si="424"/>
        <v>12069</v>
      </c>
      <c r="X138" s="193">
        <f t="shared" si="424"/>
        <v>12387</v>
      </c>
      <c r="Y138" s="193">
        <f t="shared" si="424"/>
        <v>12559</v>
      </c>
      <c r="Z138" s="193">
        <f t="shared" si="424"/>
        <v>12364</v>
      </c>
      <c r="AA138" s="997">
        <f t="shared" si="424"/>
        <v>12364</v>
      </c>
      <c r="AB138" s="193">
        <f t="shared" si="424"/>
        <v>12647</v>
      </c>
      <c r="AC138" s="193">
        <f t="shared" si="424"/>
        <v>13057</v>
      </c>
      <c r="AD138" s="193">
        <f t="shared" si="424"/>
        <v>13264</v>
      </c>
      <c r="AE138" s="193">
        <f t="shared" si="424"/>
        <v>12977</v>
      </c>
      <c r="AF138" s="997">
        <f t="shared" si="424"/>
        <v>12977</v>
      </c>
      <c r="AG138" s="193">
        <f t="shared" si="424"/>
        <v>13187</v>
      </c>
      <c r="AH138" s="193">
        <f t="shared" si="424"/>
        <v>13674</v>
      </c>
      <c r="AI138" s="193">
        <f t="shared" si="424"/>
        <v>14055</v>
      </c>
      <c r="AJ138" s="193">
        <f t="shared" si="424"/>
        <v>13915</v>
      </c>
      <c r="AK138" s="997">
        <f t="shared" si="424"/>
        <v>13915</v>
      </c>
      <c r="AL138" s="193">
        <f t="shared" si="424"/>
        <v>13911</v>
      </c>
      <c r="AM138" s="193">
        <f t="shared" si="424"/>
        <v>14253</v>
      </c>
      <c r="AN138" s="193">
        <f>ROUND(INDEX(MO_UPR_GUPR,0,COLUMN())-INDEX(MO_UPR_CUP,0,COLUMN()),6)</f>
        <v>14640</v>
      </c>
      <c r="AO138" s="193">
        <f t="shared" si="424"/>
        <v>14450</v>
      </c>
      <c r="AP138" s="997">
        <f t="shared" si="424"/>
        <v>14450</v>
      </c>
      <c r="AQ138" s="193">
        <f t="shared" si="424"/>
        <v>14577</v>
      </c>
      <c r="AR138" s="193">
        <f t="shared" si="425" ref="AR138:AW138">ROUND(INDEX(MO_UPR_GUPR,0,COLUMN())-INDEX(MO_UPR_CUP,0,COLUMN()),6)</f>
        <v>15130</v>
      </c>
      <c r="AS138" s="193">
        <f t="shared" si="425"/>
        <v>15593</v>
      </c>
      <c r="AT138" s="193">
        <f t="shared" si="425"/>
        <v>15567</v>
      </c>
      <c r="AU138" s="997">
        <f t="shared" si="425"/>
        <v>15567</v>
      </c>
      <c r="AV138" s="193">
        <f t="shared" si="425"/>
        <v>15927</v>
      </c>
      <c r="AW138" s="193">
        <f t="shared" si="425"/>
        <v>16615</v>
      </c>
      <c r="AX138" s="193">
        <f t="shared" si="426" ref="AX138:BJ138">ROUND(INDEX(MO_UPR_GUPR,0,COLUMN())-INDEX(MO_UPR_CUP,0,COLUMN()),6)</f>
        <v>17165</v>
      </c>
      <c r="AY138" s="193">
        <f t="shared" si="426"/>
        <v>17216</v>
      </c>
      <c r="AZ138" s="997">
        <f t="shared" si="426"/>
        <v>17216</v>
      </c>
      <c r="BA138" s="193">
        <f t="shared" si="427" ref="BA138:BI138">ROUND(INDEX(MO_UPR_GUPR,0,COLUMN())-INDEX(MO_UPR_CUP,0,COLUMN()),6)</f>
        <v>17783</v>
      </c>
      <c r="BB138" s="193">
        <f t="shared" si="427"/>
        <v>18912</v>
      </c>
      <c r="BC138" s="193">
        <f t="shared" si="427"/>
        <v>19669</v>
      </c>
      <c r="BD138" s="193">
        <f t="shared" si="427"/>
        <v>19722</v>
      </c>
      <c r="BE138" s="997">
        <f t="shared" si="427"/>
        <v>19722</v>
      </c>
      <c r="BF138" s="193">
        <f>ROUND(INDEX(MO_UPR_GUPR,0,COLUMN())-INDEX(MO_UPR_CUP,0,COLUMN()),6)</f>
        <v>19772</v>
      </c>
      <c r="BG138" s="193">
        <f>ROUND(INDEX(MO_UPR_GUPR,0,COLUMN())-INDEX(MO_UPR_CUP,0,COLUMN()),6)</f>
        <v>20645</v>
      </c>
      <c r="BH138" s="747">
        <f>ROUND(INDEX(MO_UPR_GUPR,0,COLUMN())-INDEX(MO_UPR_CUP,0,COLUMN()),6)</f>
        <v>21281</v>
      </c>
      <c r="BI138" s="194">
        <f t="shared" si="427"/>
        <v>21435.481494</v>
      </c>
      <c r="BJ138" s="998">
        <f t="shared" si="426"/>
        <v>21435.481494</v>
      </c>
      <c r="BK138" s="194">
        <f t="shared" si="428" ref="BK138:BR138">ROUND(INDEX(MO_UPR_GUPR,0,COLUMN())-INDEX(MO_UPR_CUP,0,COLUMN()),6)</f>
        <v>21779.958267999998</v>
      </c>
      <c r="BL138" s="194">
        <f t="shared" si="428"/>
        <v>21951.635332000002</v>
      </c>
      <c r="BM138" s="194">
        <f t="shared" si="428"/>
        <v>22128.060362</v>
      </c>
      <c r="BN138" s="194">
        <f t="shared" si="428"/>
        <v>22288.423171999999</v>
      </c>
      <c r="BO138" s="998">
        <f t="shared" si="428"/>
        <v>22288.423171999999</v>
      </c>
      <c r="BP138" s="998">
        <f t="shared" si="428"/>
        <v>23782.909699</v>
      </c>
      <c r="BQ138" s="998">
        <f t="shared" si="428"/>
        <v>25341.143894000001</v>
      </c>
      <c r="BR138" s="998">
        <f t="shared" si="428"/>
        <v>26966.427790000002</v>
      </c>
      <c r="BS138" s="423"/>
    </row>
    <row r="139" spans="1:71" s="24" customFormat="1" ht="15" hidden="1" outlineLevel="1">
      <c r="A139" s="830"/>
      <c r="B139" s="445"/>
      <c r="C139" s="994"/>
      <c r="D139" s="994"/>
      <c r="E139" s="994"/>
      <c r="F139" s="994"/>
      <c r="G139" s="994"/>
      <c r="H139" s="210"/>
      <c r="I139" s="210"/>
      <c r="J139" s="210"/>
      <c r="K139" s="210"/>
      <c r="L139" s="994"/>
      <c r="M139" s="210"/>
      <c r="N139" s="210"/>
      <c r="O139" s="210"/>
      <c r="P139" s="210"/>
      <c r="Q139" s="994"/>
      <c r="R139" s="210"/>
      <c r="S139" s="210"/>
      <c r="T139" s="210"/>
      <c r="U139" s="210"/>
      <c r="V139" s="994"/>
      <c r="W139" s="210"/>
      <c r="X139" s="210"/>
      <c r="Y139" s="210"/>
      <c r="Z139" s="210"/>
      <c r="AA139" s="994"/>
      <c r="AB139" s="210"/>
      <c r="AC139" s="210"/>
      <c r="AD139" s="210"/>
      <c r="AE139" s="210"/>
      <c r="AF139" s="994"/>
      <c r="AG139" s="210"/>
      <c r="AH139" s="210"/>
      <c r="AI139" s="210"/>
      <c r="AJ139" s="210"/>
      <c r="AK139" s="994"/>
      <c r="AL139" s="210"/>
      <c r="AM139" s="210"/>
      <c r="AN139" s="210"/>
      <c r="AO139" s="210"/>
      <c r="AP139" s="994"/>
      <c r="AQ139" s="210"/>
      <c r="AR139" s="210"/>
      <c r="AS139" s="210"/>
      <c r="AT139" s="210"/>
      <c r="AU139" s="994"/>
      <c r="AV139" s="210"/>
      <c r="AW139" s="210"/>
      <c r="AX139" s="210"/>
      <c r="AY139" s="210"/>
      <c r="AZ139" s="994"/>
      <c r="BA139" s="210"/>
      <c r="BB139" s="210"/>
      <c r="BC139" s="210"/>
      <c r="BD139" s="210"/>
      <c r="BE139" s="994"/>
      <c r="BF139" s="210"/>
      <c r="BG139" s="210"/>
      <c r="BH139" s="553"/>
      <c r="BI139" s="210"/>
      <c r="BJ139" s="994"/>
      <c r="BK139" s="210"/>
      <c r="BL139" s="210"/>
      <c r="BM139" s="210"/>
      <c r="BN139" s="210"/>
      <c r="BO139" s="994"/>
      <c r="BP139" s="994"/>
      <c r="BQ139" s="994"/>
      <c r="BR139" s="994"/>
      <c r="BS139" s="833"/>
    </row>
    <row r="140" spans="1:71" s="24" customFormat="1" ht="15" hidden="1" outlineLevel="1">
      <c r="A140" s="263" t="s">
        <v>85</v>
      </c>
      <c r="B140" s="445"/>
      <c r="C140" s="994"/>
      <c r="D140" s="993">
        <f t="shared" si="429" ref="D140:K142">D136-C136</f>
        <v>60</v>
      </c>
      <c r="E140" s="993">
        <f t="shared" si="429"/>
        <v>181</v>
      </c>
      <c r="F140" s="993">
        <f t="shared" si="429"/>
        <v>139</v>
      </c>
      <c r="G140" s="993">
        <f t="shared" si="429"/>
        <v>609</v>
      </c>
      <c r="H140" s="265">
        <f t="shared" si="429"/>
        <v>67</v>
      </c>
      <c r="I140" s="265">
        <f t="shared" si="429"/>
        <v>172</v>
      </c>
      <c r="J140" s="265">
        <f t="shared" si="429"/>
        <v>92</v>
      </c>
      <c r="K140" s="265">
        <f t="shared" si="429"/>
        <v>-342</v>
      </c>
      <c r="L140" s="993">
        <f>SUM(H140,I140,J140,K140)</f>
        <v>-11</v>
      </c>
      <c r="M140" s="265">
        <f t="shared" si="430" ref="M140:P142">M136-L136</f>
        <v>115</v>
      </c>
      <c r="N140" s="265">
        <f t="shared" si="430"/>
        <v>199</v>
      </c>
      <c r="O140" s="265">
        <f t="shared" si="430"/>
        <v>131</v>
      </c>
      <c r="P140" s="265">
        <f t="shared" si="430"/>
        <v>-313</v>
      </c>
      <c r="Q140" s="993">
        <f>SUM(M140,N140,O140,P140)</f>
        <v>132</v>
      </c>
      <c r="R140" s="265">
        <f t="shared" si="431" ref="R140:U142">R136-Q136</f>
        <v>360</v>
      </c>
      <c r="S140" s="265">
        <f t="shared" si="431"/>
        <v>189</v>
      </c>
      <c r="T140" s="265">
        <f t="shared" si="431"/>
        <v>186</v>
      </c>
      <c r="U140" s="265">
        <f t="shared" si="431"/>
        <v>-377</v>
      </c>
      <c r="V140" s="993">
        <f>SUM(R140,S140,T140,U140)</f>
        <v>358</v>
      </c>
      <c r="W140" s="265">
        <f t="shared" si="432" ref="W140:Z142">W136-V136</f>
        <v>485</v>
      </c>
      <c r="X140" s="265">
        <f t="shared" si="432"/>
        <v>238</v>
      </c>
      <c r="Y140" s="265">
        <f t="shared" si="432"/>
        <v>195</v>
      </c>
      <c r="Z140" s="265">
        <f t="shared" si="432"/>
        <v>-332</v>
      </c>
      <c r="AA140" s="993">
        <f>SUM(W140,X140,Y140,Z140)</f>
        <v>586</v>
      </c>
      <c r="AB140" s="265">
        <f t="shared" si="433" ref="AB140:AE142">AB136-AA136</f>
        <v>509</v>
      </c>
      <c r="AC140" s="265">
        <f t="shared" si="433"/>
        <v>331</v>
      </c>
      <c r="AD140" s="265">
        <f t="shared" si="433"/>
        <v>224</v>
      </c>
      <c r="AE140" s="265">
        <f t="shared" si="433"/>
        <v>-424</v>
      </c>
      <c r="AF140" s="993">
        <f>SUM(AB140,AC140,AD140,AE140)</f>
        <v>640</v>
      </c>
      <c r="AG140" s="265">
        <f t="shared" si="434" ref="AG140:AJ142">AG136-AF136</f>
        <v>567</v>
      </c>
      <c r="AH140" s="265">
        <f t="shared" si="434"/>
        <v>416</v>
      </c>
      <c r="AI140" s="265">
        <f t="shared" si="434"/>
        <v>374</v>
      </c>
      <c r="AJ140" s="265">
        <f t="shared" si="434"/>
        <v>-308</v>
      </c>
      <c r="AK140" s="993">
        <f>SUM(AG140,AH140,AI140,AJ140)</f>
        <v>1049</v>
      </c>
      <c r="AL140" s="265">
        <f t="shared" si="435" ref="AL140:AM142">AL136-AK136</f>
        <v>337</v>
      </c>
      <c r="AM140" s="265">
        <f t="shared" si="435"/>
        <v>257</v>
      </c>
      <c r="AN140" s="265">
        <f>AN136-AM136</f>
        <v>344</v>
      </c>
      <c r="AO140" s="265">
        <f t="shared" si="436" ref="AO140:AO142">AO136-AN136</f>
        <v>-320</v>
      </c>
      <c r="AP140" s="993">
        <f>SUM(AL140,AM140,AN140,AO140)</f>
        <v>618</v>
      </c>
      <c r="AQ140" s="265">
        <f t="shared" si="437" ref="AQ140:AQ142">AQ136-AP136</f>
        <v>520</v>
      </c>
      <c r="AR140" s="265">
        <f t="shared" si="438" ref="AR140:AS142">AR136-AQ136</f>
        <v>468</v>
      </c>
      <c r="AS140" s="265">
        <f t="shared" si="438"/>
        <v>467</v>
      </c>
      <c r="AT140" s="265">
        <f>AT136-AS136</f>
        <v>-208</v>
      </c>
      <c r="AU140" s="993">
        <f>SUM(AQ140,AR140,AS140,AT140)</f>
        <v>1247</v>
      </c>
      <c r="AV140" s="265">
        <f t="shared" si="439" ref="AV140:AW142">AV136-AU136</f>
        <v>724</v>
      </c>
      <c r="AW140" s="265">
        <f t="shared" si="439"/>
        <v>618</v>
      </c>
      <c r="AX140" s="265">
        <f t="shared" si="440" ref="AX140:AY142">AX136-AW136</f>
        <v>553</v>
      </c>
      <c r="AY140" s="265">
        <f t="shared" si="440"/>
        <v>-124</v>
      </c>
      <c r="AZ140" s="993">
        <f>SUM(AV140,AW140,AX140,AY140)</f>
        <v>1771</v>
      </c>
      <c r="BA140" s="265">
        <f t="shared" si="441" ref="BA140:BB142">BA136-AZ136</f>
        <v>903</v>
      </c>
      <c r="BB140" s="265">
        <f t="shared" si="441"/>
        <v>1071</v>
      </c>
      <c r="BC140" s="265">
        <f t="shared" si="442" ref="BC140:BD142">BC136-BB136</f>
        <v>844</v>
      </c>
      <c r="BD140" s="265">
        <f t="shared" si="442"/>
        <v>-186</v>
      </c>
      <c r="BE140" s="993">
        <f>SUM(BA140,BB140,BC140,BD140)</f>
        <v>2632</v>
      </c>
      <c r="BF140" s="265">
        <f t="shared" si="443" ref="BF140:BG142">BF136-BE136</f>
        <v>435</v>
      </c>
      <c r="BG140" s="265">
        <f t="shared" si="443"/>
        <v>783</v>
      </c>
      <c r="BH140" s="745">
        <f>BH136-BG136</f>
        <v>693</v>
      </c>
      <c r="BI140" s="210">
        <f>ROUND(INDEX(MO_UI_GWP,0,COLUMN())-INDEX(MO_UI_GEP,0,COLUMN()),6)</f>
        <v>163.4768</v>
      </c>
      <c r="BJ140" s="994">
        <f>SUM(BF140,BG140,BH140,BI140)</f>
        <v>2074.4767999999999</v>
      </c>
      <c r="BK140" s="210">
        <f>ROUND(INDEX(MO_UI_GWP,0,COLUMN())-INDEX(MO_UI_GEP,0,COLUMN()),6)</f>
        <v>361.26900000000001</v>
      </c>
      <c r="BL140" s="210">
        <f>ROUND(INDEX(MO_UI_GWP,0,COLUMN())-INDEX(MO_UI_GEP,0,COLUMN()),6)</f>
        <v>181.6207</v>
      </c>
      <c r="BM140" s="210">
        <f>ROUND(INDEX(MO_UI_GWP,0,COLUMN())-INDEX(MO_UI_GEP,0,COLUMN()),6)</f>
        <v>186.57550000000001</v>
      </c>
      <c r="BN140" s="210">
        <f>ROUND(INDEX(MO_UI_GWP,0,COLUMN())-INDEX(MO_UI_GEP,0,COLUMN()),6)</f>
        <v>169.65342200000001</v>
      </c>
      <c r="BO140" s="994">
        <f>SUM(BK140,BL140,BM140,BN140)</f>
        <v>899.11862199999996</v>
      </c>
      <c r="BP140" s="994">
        <f>ROUND(INDEX(MO_UI_GWP,0,COLUMN())-INDEX(MO_UI_GEP,0,COLUMN()),6)</f>
        <v>1579.5921960000001</v>
      </c>
      <c r="BQ140" s="994">
        <f>ROUND(INDEX(MO_UI_GWP,0,COLUMN())-INDEX(MO_UI_GEP,0,COLUMN()),6)</f>
        <v>1645.7889769999999</v>
      </c>
      <c r="BR140" s="994">
        <f>ROUND(INDEX(MO_UI_GWP,0,COLUMN())-INDEX(MO_UI_GEP,0,COLUMN()),6)</f>
        <v>1715.3855639999999</v>
      </c>
      <c r="BS140" s="833"/>
    </row>
    <row r="141" spans="1:71" s="24" customFormat="1" ht="15" hidden="1" outlineLevel="1">
      <c r="A141" s="60" t="s">
        <v>86</v>
      </c>
      <c r="B141" s="446"/>
      <c r="C141" s="996"/>
      <c r="D141" s="995">
        <f t="shared" si="429"/>
        <v>-103</v>
      </c>
      <c r="E141" s="995">
        <f t="shared" si="429"/>
        <v>15</v>
      </c>
      <c r="F141" s="995">
        <f t="shared" si="429"/>
        <v>28</v>
      </c>
      <c r="G141" s="995">
        <f t="shared" si="429"/>
        <v>-55</v>
      </c>
      <c r="H141" s="186">
        <f t="shared" si="429"/>
        <v>50</v>
      </c>
      <c r="I141" s="186">
        <f t="shared" si="429"/>
        <v>-89</v>
      </c>
      <c r="J141" s="186">
        <f t="shared" si="429"/>
        <v>86</v>
      </c>
      <c r="K141" s="186">
        <f t="shared" si="429"/>
        <v>-170</v>
      </c>
      <c r="L141" s="995">
        <f>SUM(H141,I141,J141,K141)</f>
        <v>-123</v>
      </c>
      <c r="M141" s="186">
        <f t="shared" si="430"/>
        <v>152</v>
      </c>
      <c r="N141" s="186">
        <f t="shared" si="430"/>
        <v>-48</v>
      </c>
      <c r="O141" s="186">
        <f t="shared" si="430"/>
        <v>7</v>
      </c>
      <c r="P141" s="186">
        <f t="shared" si="430"/>
        <v>-133</v>
      </c>
      <c r="Q141" s="995">
        <f>SUM(M141,N141,O141,P141)</f>
        <v>-22</v>
      </c>
      <c r="R141" s="186">
        <f t="shared" si="431"/>
        <v>149</v>
      </c>
      <c r="S141" s="186">
        <f t="shared" si="431"/>
        <v>-79</v>
      </c>
      <c r="T141" s="186">
        <f t="shared" si="431"/>
        <v>15</v>
      </c>
      <c r="U141" s="186">
        <f t="shared" si="431"/>
        <v>-152</v>
      </c>
      <c r="V141" s="995">
        <f>SUM(R141,S141,T141,U141)</f>
        <v>-67</v>
      </c>
      <c r="W141" s="186">
        <f t="shared" si="432"/>
        <v>156</v>
      </c>
      <c r="X141" s="186">
        <f t="shared" si="432"/>
        <v>-80</v>
      </c>
      <c r="Y141" s="186">
        <f t="shared" si="432"/>
        <v>23</v>
      </c>
      <c r="Z141" s="186">
        <f t="shared" si="432"/>
        <v>-137</v>
      </c>
      <c r="AA141" s="995">
        <f>SUM(W141,X141,Y141,Z141)</f>
        <v>-38</v>
      </c>
      <c r="AB141" s="186">
        <f t="shared" si="433"/>
        <v>226</v>
      </c>
      <c r="AC141" s="186">
        <f t="shared" si="433"/>
        <v>-79</v>
      </c>
      <c r="AD141" s="186">
        <f t="shared" si="433"/>
        <v>17</v>
      </c>
      <c r="AE141" s="186">
        <f t="shared" si="433"/>
        <v>-137</v>
      </c>
      <c r="AF141" s="995">
        <f>SUM(AB141,AC141,AD141,AE141)</f>
        <v>27</v>
      </c>
      <c r="AG141" s="186">
        <f t="shared" si="434"/>
        <v>357</v>
      </c>
      <c r="AH141" s="186">
        <f t="shared" si="434"/>
        <v>-71</v>
      </c>
      <c r="AI141" s="186">
        <f t="shared" si="434"/>
        <v>-7</v>
      </c>
      <c r="AJ141" s="186">
        <f t="shared" si="434"/>
        <v>-168</v>
      </c>
      <c r="AK141" s="995">
        <f>SUM(AG141,AH141,AI141,AJ141)</f>
        <v>111</v>
      </c>
      <c r="AL141" s="186">
        <f t="shared" si="435"/>
        <v>341</v>
      </c>
      <c r="AM141" s="186">
        <f t="shared" si="435"/>
        <v>-85</v>
      </c>
      <c r="AN141" s="186">
        <f>AN137-AM137</f>
        <v>-43</v>
      </c>
      <c r="AO141" s="186">
        <f t="shared" si="436"/>
        <v>-130</v>
      </c>
      <c r="AP141" s="995">
        <f>SUM(AL141,AM141,AN141,AO141)</f>
        <v>83</v>
      </c>
      <c r="AQ141" s="186">
        <f t="shared" si="437"/>
        <v>393</v>
      </c>
      <c r="AR141" s="186">
        <f t="shared" si="438"/>
        <v>-85</v>
      </c>
      <c r="AS141" s="186">
        <f t="shared" si="438"/>
        <v>4</v>
      </c>
      <c r="AT141" s="186">
        <f>AT137-AS137</f>
        <v>-182</v>
      </c>
      <c r="AU141" s="995">
        <f>SUM(AQ141,AR141,AS141,AT141)</f>
        <v>130</v>
      </c>
      <c r="AV141" s="186">
        <f t="shared" si="439"/>
        <v>364</v>
      </c>
      <c r="AW141" s="186">
        <f t="shared" si="439"/>
        <v>-70</v>
      </c>
      <c r="AX141" s="186">
        <f t="shared" si="440"/>
        <v>3</v>
      </c>
      <c r="AY141" s="186">
        <f t="shared" si="440"/>
        <v>-175</v>
      </c>
      <c r="AZ141" s="995">
        <f>SUM(AV141,AW141,AX141,AY141)</f>
        <v>122</v>
      </c>
      <c r="BA141" s="186">
        <f t="shared" si="441"/>
        <v>336</v>
      </c>
      <c r="BB141" s="186">
        <f t="shared" si="441"/>
        <v>-58</v>
      </c>
      <c r="BC141" s="186">
        <f t="shared" si="442"/>
        <v>87</v>
      </c>
      <c r="BD141" s="186">
        <f t="shared" si="442"/>
        <v>-239</v>
      </c>
      <c r="BE141" s="995">
        <f>SUM(BA141,BB141,BC141,BD141)</f>
        <v>126</v>
      </c>
      <c r="BF141" s="186">
        <f t="shared" si="443"/>
        <v>385</v>
      </c>
      <c r="BG141" s="186">
        <f t="shared" si="443"/>
        <v>-90</v>
      </c>
      <c r="BH141" s="746">
        <f>BH137-BG137</f>
        <v>57</v>
      </c>
      <c r="BI141" s="205">
        <f>(ROUND(INDEX(MO_UI_CWP,0,COLUMN())-INDEX(MO_UI_CEP,0,COLUMN()),6))</f>
        <v>8.9953059999999994</v>
      </c>
      <c r="BJ141" s="996">
        <f>SUM(BF141,BG141,BH141,BI141)</f>
        <v>360.99530600000003</v>
      </c>
      <c r="BK141" s="205">
        <f>(ROUND(INDEX(MO_UI_CWP,0,COLUMN())-INDEX(MO_UI_CEP,0,COLUMN()),6))</f>
        <v>16.792225999999999</v>
      </c>
      <c r="BL141" s="205">
        <f>(ROUND(INDEX(MO_UI_CWP,0,COLUMN())-INDEX(MO_UI_CEP,0,COLUMN()),6))</f>
        <v>9.9436359999999997</v>
      </c>
      <c r="BM141" s="205">
        <f>(ROUND(INDEX(MO_UI_CWP,0,COLUMN())-INDEX(MO_UI_CEP,0,COLUMN()),6))</f>
        <v>10.15047</v>
      </c>
      <c r="BN141" s="205">
        <f>(ROUND(INDEX(MO_UI_CWP,0,COLUMN())-INDEX(MO_UI_CEP,0,COLUMN()),6))</f>
        <v>9.2906119999999994</v>
      </c>
      <c r="BO141" s="996">
        <f>SUM(BK141,BL141,BM141,BN141)</f>
        <v>46.176943999999992</v>
      </c>
      <c r="BP141" s="996">
        <f>(ROUND(INDEX(MO_UI_CWP,0,COLUMN())-INDEX(MO_UI_CEP,0,COLUMN()),6))</f>
        <v>85.105669000000006</v>
      </c>
      <c r="BQ141" s="996">
        <f>(ROUND(INDEX(MO_UI_CWP,0,COLUMN())-INDEX(MO_UI_CEP,0,COLUMN()),6))</f>
        <v>87.554782000000003</v>
      </c>
      <c r="BR141" s="996">
        <f>(ROUND(INDEX(MO_UI_CWP,0,COLUMN())-INDEX(MO_UI_CEP,0,COLUMN()),6))</f>
        <v>90.101668000000004</v>
      </c>
      <c r="BS141" s="833"/>
    </row>
    <row r="142" spans="1:71" s="181" customFormat="1" ht="15" hidden="1" outlineLevel="1">
      <c r="A142" s="333" t="s">
        <v>87</v>
      </c>
      <c r="B142" s="447"/>
      <c r="C142" s="998"/>
      <c r="D142" s="997">
        <f t="shared" si="429"/>
        <v>163</v>
      </c>
      <c r="E142" s="997">
        <f t="shared" si="429"/>
        <v>166</v>
      </c>
      <c r="F142" s="997">
        <f t="shared" si="429"/>
        <v>111</v>
      </c>
      <c r="G142" s="997">
        <f t="shared" si="429"/>
        <v>664</v>
      </c>
      <c r="H142" s="193">
        <f t="shared" si="429"/>
        <v>17</v>
      </c>
      <c r="I142" s="193">
        <f t="shared" si="429"/>
        <v>261</v>
      </c>
      <c r="J142" s="193">
        <f t="shared" si="429"/>
        <v>6</v>
      </c>
      <c r="K142" s="193">
        <f t="shared" si="429"/>
        <v>-172</v>
      </c>
      <c r="L142" s="997">
        <f>L138-G138</f>
        <v>112</v>
      </c>
      <c r="M142" s="193">
        <f t="shared" si="430"/>
        <v>-37</v>
      </c>
      <c r="N142" s="193">
        <f t="shared" si="430"/>
        <v>247</v>
      </c>
      <c r="O142" s="193">
        <f t="shared" si="430"/>
        <v>124</v>
      </c>
      <c r="P142" s="193">
        <f t="shared" si="430"/>
        <v>-180</v>
      </c>
      <c r="Q142" s="997">
        <f>Q138-L138</f>
        <v>154</v>
      </c>
      <c r="R142" s="193">
        <f t="shared" si="431"/>
        <v>211</v>
      </c>
      <c r="S142" s="193">
        <f t="shared" si="431"/>
        <v>268</v>
      </c>
      <c r="T142" s="193">
        <f t="shared" si="431"/>
        <v>171</v>
      </c>
      <c r="U142" s="193">
        <f t="shared" si="431"/>
        <v>-225</v>
      </c>
      <c r="V142" s="997">
        <f>V138-Q138</f>
        <v>425</v>
      </c>
      <c r="W142" s="193">
        <f t="shared" si="432"/>
        <v>329</v>
      </c>
      <c r="X142" s="193">
        <f t="shared" si="432"/>
        <v>318</v>
      </c>
      <c r="Y142" s="193">
        <f t="shared" si="432"/>
        <v>172</v>
      </c>
      <c r="Z142" s="193">
        <f t="shared" si="432"/>
        <v>-195</v>
      </c>
      <c r="AA142" s="997">
        <f>AA138-V138</f>
        <v>624</v>
      </c>
      <c r="AB142" s="193">
        <f t="shared" si="433"/>
        <v>283</v>
      </c>
      <c r="AC142" s="193">
        <f t="shared" si="433"/>
        <v>410</v>
      </c>
      <c r="AD142" s="193">
        <f t="shared" si="433"/>
        <v>207</v>
      </c>
      <c r="AE142" s="193">
        <f t="shared" si="433"/>
        <v>-287</v>
      </c>
      <c r="AF142" s="997">
        <f>AF138-AA138</f>
        <v>613</v>
      </c>
      <c r="AG142" s="193">
        <f t="shared" si="434"/>
        <v>210</v>
      </c>
      <c r="AH142" s="193">
        <f t="shared" si="434"/>
        <v>487</v>
      </c>
      <c r="AI142" s="193">
        <f t="shared" si="434"/>
        <v>381</v>
      </c>
      <c r="AJ142" s="193">
        <f t="shared" si="434"/>
        <v>-140</v>
      </c>
      <c r="AK142" s="997">
        <f>AK138-AF138</f>
        <v>938</v>
      </c>
      <c r="AL142" s="193">
        <f t="shared" si="435"/>
        <v>-4</v>
      </c>
      <c r="AM142" s="193">
        <f t="shared" si="435"/>
        <v>342</v>
      </c>
      <c r="AN142" s="193">
        <f>AN138-AM138</f>
        <v>387</v>
      </c>
      <c r="AO142" s="193">
        <f t="shared" si="436"/>
        <v>-190</v>
      </c>
      <c r="AP142" s="997">
        <f>AP138-AK138</f>
        <v>535</v>
      </c>
      <c r="AQ142" s="193">
        <f t="shared" si="437"/>
        <v>127</v>
      </c>
      <c r="AR142" s="193">
        <f t="shared" si="438"/>
        <v>553</v>
      </c>
      <c r="AS142" s="193">
        <f t="shared" si="438"/>
        <v>463</v>
      </c>
      <c r="AT142" s="193">
        <f>AT138-AS138</f>
        <v>-26</v>
      </c>
      <c r="AU142" s="997">
        <f>AU138-AP138</f>
        <v>1117</v>
      </c>
      <c r="AV142" s="193">
        <f t="shared" si="439"/>
        <v>360</v>
      </c>
      <c r="AW142" s="193">
        <f t="shared" si="439"/>
        <v>688</v>
      </c>
      <c r="AX142" s="193">
        <f t="shared" si="440"/>
        <v>550</v>
      </c>
      <c r="AY142" s="193">
        <f t="shared" si="440"/>
        <v>51</v>
      </c>
      <c r="AZ142" s="997">
        <f>AZ138-AU138</f>
        <v>1649</v>
      </c>
      <c r="BA142" s="193">
        <f t="shared" si="441"/>
        <v>567</v>
      </c>
      <c r="BB142" s="193">
        <f t="shared" si="441"/>
        <v>1129</v>
      </c>
      <c r="BC142" s="193">
        <f t="shared" si="442"/>
        <v>757</v>
      </c>
      <c r="BD142" s="193">
        <f t="shared" si="442"/>
        <v>53</v>
      </c>
      <c r="BE142" s="997">
        <f>BE138-AZ138</f>
        <v>2506</v>
      </c>
      <c r="BF142" s="193">
        <f t="shared" si="443"/>
        <v>50</v>
      </c>
      <c r="BG142" s="193">
        <f t="shared" si="443"/>
        <v>873</v>
      </c>
      <c r="BH142" s="747">
        <f>BH138-BG138</f>
        <v>636</v>
      </c>
      <c r="BI142" s="194">
        <f>ROUND(INDEX(MO_UPR_ChangeInGUPR,0,COLUMN())-INDEX(MO_UPR_ChangeInCUP,0,COLUMN()),6)</f>
        <v>154.481494</v>
      </c>
      <c r="BJ142" s="998">
        <f t="shared" si="444" ref="BJ142">ROUND(INDEX(MO_UPR_ChangeInGUPR,0,COLUMN())-INDEX(MO_UPR_ChangeInCUP,0,COLUMN()),6)</f>
        <v>1713.4814940000001</v>
      </c>
      <c r="BK142" s="194">
        <f t="shared" si="445" ref="BK142:BR142">ROUND(INDEX(MO_UPR_ChangeInGUPR,0,COLUMN())-INDEX(MO_UPR_ChangeInCUP,0,COLUMN()),6)</f>
        <v>344.47677399999998</v>
      </c>
      <c r="BL142" s="194">
        <f t="shared" si="445"/>
        <v>171.677064</v>
      </c>
      <c r="BM142" s="194">
        <f t="shared" si="445"/>
        <v>176.42502999999999</v>
      </c>
      <c r="BN142" s="194">
        <f t="shared" si="445"/>
        <v>160.36281</v>
      </c>
      <c r="BO142" s="998">
        <f t="shared" si="445"/>
        <v>852.94167800000002</v>
      </c>
      <c r="BP142" s="998">
        <f t="shared" si="445"/>
        <v>1494.486527</v>
      </c>
      <c r="BQ142" s="998">
        <f t="shared" si="445"/>
        <v>1558.234195</v>
      </c>
      <c r="BR142" s="998">
        <f t="shared" si="445"/>
        <v>1625.2838959999999</v>
      </c>
      <c r="BS142" s="423"/>
    </row>
    <row r="143" spans="1:71" s="24" customFormat="1" ht="15" collapsed="1">
      <c r="A143" s="449"/>
      <c r="B143" s="445"/>
      <c r="C143" s="1011"/>
      <c r="D143" s="1011"/>
      <c r="E143" s="1011"/>
      <c r="F143" s="1011"/>
      <c r="G143" s="1011"/>
      <c r="H143" s="857"/>
      <c r="I143" s="857"/>
      <c r="J143" s="857"/>
      <c r="K143" s="857"/>
      <c r="L143" s="1011"/>
      <c r="M143" s="857"/>
      <c r="N143" s="857"/>
      <c r="O143" s="857"/>
      <c r="P143" s="857"/>
      <c r="Q143" s="1011"/>
      <c r="R143" s="857"/>
      <c r="S143" s="857"/>
      <c r="T143" s="857"/>
      <c r="U143" s="857"/>
      <c r="V143" s="1011"/>
      <c r="W143" s="857"/>
      <c r="X143" s="857"/>
      <c r="Y143" s="857"/>
      <c r="Z143" s="857"/>
      <c r="AA143" s="1011"/>
      <c r="AB143" s="857"/>
      <c r="AC143" s="857"/>
      <c r="AD143" s="857"/>
      <c r="AE143" s="857"/>
      <c r="AF143" s="1011"/>
      <c r="AG143" s="857"/>
      <c r="AH143" s="857"/>
      <c r="AI143" s="857"/>
      <c r="AJ143" s="857"/>
      <c r="AK143" s="1011"/>
      <c r="AL143" s="857"/>
      <c r="AM143" s="857"/>
      <c r="AN143" s="857"/>
      <c r="AO143" s="857"/>
      <c r="AP143" s="1011"/>
      <c r="AQ143" s="857"/>
      <c r="AR143" s="857"/>
      <c r="AS143" s="857"/>
      <c r="AT143" s="857"/>
      <c r="AU143" s="1011"/>
      <c r="AV143" s="857"/>
      <c r="AW143" s="857"/>
      <c r="AX143" s="857"/>
      <c r="AY143" s="857"/>
      <c r="AZ143" s="1011"/>
      <c r="BA143" s="857"/>
      <c r="BB143" s="857"/>
      <c r="BC143" s="857"/>
      <c r="BD143" s="857"/>
      <c r="BE143" s="1011"/>
      <c r="BF143" s="857"/>
      <c r="BG143" s="857"/>
      <c r="BH143" s="858"/>
      <c r="BI143" s="857"/>
      <c r="BJ143" s="1011"/>
      <c r="BK143" s="857"/>
      <c r="BL143" s="857"/>
      <c r="BM143" s="857"/>
      <c r="BN143" s="857"/>
      <c r="BO143" s="1011"/>
      <c r="BP143" s="1011"/>
      <c r="BQ143" s="1011"/>
      <c r="BR143" s="1011"/>
      <c r="BS143" s="833"/>
    </row>
    <row r="144" spans="1:71" s="181" customFormat="1" ht="15">
      <c r="A144" s="826" t="s">
        <v>88</v>
      </c>
      <c r="B144" s="826"/>
      <c r="C144" s="847"/>
      <c r="D144" s="847"/>
      <c r="E144" s="847"/>
      <c r="F144" s="847"/>
      <c r="G144" s="847"/>
      <c r="H144" s="847"/>
      <c r="I144" s="847"/>
      <c r="J144" s="847"/>
      <c r="K144" s="847"/>
      <c r="L144" s="847"/>
      <c r="M144" s="847"/>
      <c r="N144" s="847"/>
      <c r="O144" s="847"/>
      <c r="P144" s="847"/>
      <c r="Q144" s="847"/>
      <c r="R144" s="847"/>
      <c r="S144" s="847"/>
      <c r="T144" s="847"/>
      <c r="U144" s="847"/>
      <c r="V144" s="847"/>
      <c r="W144" s="847"/>
      <c r="X144" s="847"/>
      <c r="Y144" s="847"/>
      <c r="Z144" s="847"/>
      <c r="AA144" s="847"/>
      <c r="AB144" s="847"/>
      <c r="AC144" s="847"/>
      <c r="AD144" s="847"/>
      <c r="AE144" s="847"/>
      <c r="AF144" s="847"/>
      <c r="AG144" s="847"/>
      <c r="AH144" s="847"/>
      <c r="AI144" s="847"/>
      <c r="AJ144" s="847"/>
      <c r="AK144" s="847"/>
      <c r="AL144" s="847"/>
      <c r="AM144" s="847"/>
      <c r="AN144" s="847"/>
      <c r="AO144" s="847"/>
      <c r="AP144" s="847"/>
      <c r="AQ144" s="847"/>
      <c r="AR144" s="847"/>
      <c r="AS144" s="847"/>
      <c r="AT144" s="847"/>
      <c r="AU144" s="847"/>
      <c r="AV144" s="847"/>
      <c r="AW144" s="847"/>
      <c r="AX144" s="847"/>
      <c r="AY144" s="847"/>
      <c r="AZ144" s="847"/>
      <c r="BA144" s="847"/>
      <c r="BB144" s="847"/>
      <c r="BC144" s="847"/>
      <c r="BD144" s="847"/>
      <c r="BE144" s="847"/>
      <c r="BF144" s="847"/>
      <c r="BG144" s="847"/>
      <c r="BH144" s="848"/>
      <c r="BI144" s="847"/>
      <c r="BJ144" s="847"/>
      <c r="BK144" s="847"/>
      <c r="BL144" s="847"/>
      <c r="BM144" s="847"/>
      <c r="BN144" s="847"/>
      <c r="BO144" s="847"/>
      <c r="BP144" s="847"/>
      <c r="BQ144" s="847"/>
      <c r="BR144" s="847"/>
      <c r="BS144" s="423"/>
    </row>
    <row r="145" spans="1:71" s="24" customFormat="1" ht="15" hidden="1" outlineLevel="1">
      <c r="A145" s="263" t="s">
        <v>89</v>
      </c>
      <c r="B145" s="445"/>
      <c r="C145" s="993">
        <f t="shared" si="446" ref="C145:AM145">C646</f>
        <v>53127</v>
      </c>
      <c r="D145" s="993">
        <f t="shared" si="446"/>
        <v>51606</v>
      </c>
      <c r="E145" s="993">
        <f t="shared" si="446"/>
        <v>51392</v>
      </c>
      <c r="F145" s="993">
        <f t="shared" si="446"/>
        <v>50922</v>
      </c>
      <c r="G145" s="993">
        <f t="shared" si="446"/>
        <v>50895</v>
      </c>
      <c r="H145" s="265">
        <f t="shared" si="446"/>
        <v>50588</v>
      </c>
      <c r="I145" s="265">
        <f t="shared" si="446"/>
        <v>50856</v>
      </c>
      <c r="J145" s="265">
        <f t="shared" si="446"/>
        <v>50402</v>
      </c>
      <c r="K145" s="265">
        <f t="shared" si="446"/>
        <v>49850</v>
      </c>
      <c r="L145" s="993">
        <f t="shared" si="446"/>
        <v>49850</v>
      </c>
      <c r="M145" s="265">
        <f t="shared" si="446"/>
        <v>48994</v>
      </c>
      <c r="N145" s="265">
        <f t="shared" si="446"/>
        <v>48833</v>
      </c>
      <c r="O145" s="265">
        <f t="shared" si="446"/>
        <v>48596</v>
      </c>
      <c r="P145" s="265">
        <f t="shared" si="446"/>
        <v>48295</v>
      </c>
      <c r="Q145" s="993">
        <f t="shared" si="446"/>
        <v>48295</v>
      </c>
      <c r="R145" s="265">
        <f t="shared" si="446"/>
        <v>48640</v>
      </c>
      <c r="S145" s="265">
        <f t="shared" si="446"/>
        <v>47953</v>
      </c>
      <c r="T145" s="265">
        <f t="shared" si="446"/>
        <v>48168</v>
      </c>
      <c r="U145" s="265">
        <f t="shared" si="446"/>
        <v>47949</v>
      </c>
      <c r="V145" s="993">
        <f t="shared" si="446"/>
        <v>47949</v>
      </c>
      <c r="W145" s="265">
        <f t="shared" si="446"/>
        <v>48320</v>
      </c>
      <c r="X145" s="265">
        <f t="shared" si="446"/>
        <v>48574</v>
      </c>
      <c r="Y145" s="265">
        <f t="shared" si="446"/>
        <v>49750</v>
      </c>
      <c r="Z145" s="265">
        <f t="shared" si="446"/>
        <v>49650</v>
      </c>
      <c r="AA145" s="993">
        <f t="shared" si="446"/>
        <v>49650</v>
      </c>
      <c r="AB145" s="265">
        <f t="shared" si="446"/>
        <v>49810</v>
      </c>
      <c r="AC145" s="265">
        <f t="shared" si="446"/>
        <v>49961</v>
      </c>
      <c r="AD145" s="265">
        <f t="shared" si="446"/>
        <v>50430</v>
      </c>
      <c r="AE145" s="265">
        <f t="shared" si="446"/>
        <v>50668</v>
      </c>
      <c r="AF145" s="993">
        <f t="shared" si="446"/>
        <v>50668</v>
      </c>
      <c r="AG145" s="265">
        <f t="shared" si="446"/>
        <v>50718</v>
      </c>
      <c r="AH145" s="265">
        <f t="shared" si="446"/>
        <v>51073</v>
      </c>
      <c r="AI145" s="265">
        <f t="shared" si="446"/>
        <v>51612</v>
      </c>
      <c r="AJ145" s="265">
        <f t="shared" si="446"/>
        <v>51849</v>
      </c>
      <c r="AK145" s="993">
        <f t="shared" si="446"/>
        <v>51849</v>
      </c>
      <c r="AL145" s="265">
        <f t="shared" si="446"/>
        <v>51957</v>
      </c>
      <c r="AM145" s="265">
        <f t="shared" si="446"/>
        <v>53109</v>
      </c>
      <c r="AN145" s="265">
        <f>AN646</f>
        <v>54418</v>
      </c>
      <c r="AO145" s="265">
        <f t="shared" si="447" ref="AO145:AQ145">AO646</f>
        <v>54521</v>
      </c>
      <c r="AP145" s="993">
        <f t="shared" si="447"/>
        <v>54521</v>
      </c>
      <c r="AQ145" s="265">
        <f t="shared" si="447"/>
        <v>55340</v>
      </c>
      <c r="AR145" s="265">
        <f t="shared" si="448" ref="AR145:AW145">AR646</f>
        <v>55906</v>
      </c>
      <c r="AS145" s="265">
        <f t="shared" si="448"/>
        <v>56805</v>
      </c>
      <c r="AT145" s="265">
        <f t="shared" si="448"/>
        <v>56907</v>
      </c>
      <c r="AU145" s="993">
        <f t="shared" si="448"/>
        <v>56907</v>
      </c>
      <c r="AV145" s="265">
        <f t="shared" si="448"/>
        <v>57572</v>
      </c>
      <c r="AW145" s="265">
        <f t="shared" si="448"/>
        <v>57983</v>
      </c>
      <c r="AX145" s="265">
        <f t="shared" si="449" ref="AX145:BC145">AX646</f>
        <v>58138</v>
      </c>
      <c r="AY145" s="265">
        <f t="shared" si="449"/>
        <v>58649</v>
      </c>
      <c r="AZ145" s="993">
        <f t="shared" si="449"/>
        <v>58649</v>
      </c>
      <c r="BA145" s="265">
        <f t="shared" si="449"/>
        <v>59064</v>
      </c>
      <c r="BB145" s="265">
        <f t="shared" si="449"/>
        <v>60571</v>
      </c>
      <c r="BC145" s="265">
        <f t="shared" si="449"/>
        <v>61709</v>
      </c>
      <c r="BD145" s="265">
        <f>BD646</f>
        <v>61627</v>
      </c>
      <c r="BE145" s="993">
        <f>BE646</f>
        <v>61627</v>
      </c>
      <c r="BF145" s="265">
        <f>BF646</f>
        <v>62487</v>
      </c>
      <c r="BG145" s="265">
        <f>BG646</f>
        <v>63857</v>
      </c>
      <c r="BH145" s="745">
        <f>BH646</f>
        <v>64746</v>
      </c>
      <c r="BI145" s="210">
        <f>ROUND(INDEX(MO_LR_RR,0,COLUMN())+INDEX(MO_LR_NLR,0,COLUMN()),6)</f>
        <v>65761.404062999994</v>
      </c>
      <c r="BJ145" s="994">
        <f>BI145</f>
        <v>65761.404062999994</v>
      </c>
      <c r="BK145" s="210">
        <f>ROUND(INDEX(MO_LR_RR,0,COLUMN())+INDEX(MO_LR_NLR,0,COLUMN()),6)</f>
        <v>66844.748376000003</v>
      </c>
      <c r="BL145" s="210">
        <f>ROUND(INDEX(MO_LR_RR,0,COLUMN())+INDEX(MO_LR_NLR,0,COLUMN()),6)</f>
        <v>68055.371402999997</v>
      </c>
      <c r="BM145" s="210">
        <f>ROUND(INDEX(MO_LR_RR,0,COLUMN())+INDEX(MO_LR_NLR,0,COLUMN()),6)</f>
        <v>69267.407512999998</v>
      </c>
      <c r="BN145" s="210">
        <f>ROUND(INDEX(MO_LR_RR,0,COLUMN())+INDEX(MO_LR_NLR,0,COLUMN()),6)</f>
        <v>70325.163524999996</v>
      </c>
      <c r="BO145" s="994">
        <f>BN145</f>
        <v>70325.163524999996</v>
      </c>
      <c r="BP145" s="994">
        <f>ROUND(INDEX(MO_LR_RR,0,COLUMN())+INDEX(MO_LR_NLR,0,COLUMN()),6)</f>
        <v>75000.413312999997</v>
      </c>
      <c r="BQ145" s="994">
        <f>ROUND(INDEX(MO_LR_RR,0,COLUMN())+INDEX(MO_LR_NLR,0,COLUMN()),6)</f>
        <v>79765.170375000002</v>
      </c>
      <c r="BR145" s="994">
        <f>ROUND(INDEX(MO_LR_RR,0,COLUMN())+INDEX(MO_LR_NLR,0,COLUMN()),6)</f>
        <v>84776.368352999998</v>
      </c>
      <c r="BS145" s="833"/>
    </row>
    <row r="146" spans="1:71" s="24" customFormat="1" ht="15" hidden="1" outlineLevel="1">
      <c r="A146" s="60" t="s">
        <v>90</v>
      </c>
      <c r="B146" s="446"/>
      <c r="C146" s="995">
        <f t="shared" si="450" ref="C146:AM146">C635</f>
        <v>12816</v>
      </c>
      <c r="D146" s="995">
        <f t="shared" si="450"/>
        <v>11994</v>
      </c>
      <c r="E146" s="995">
        <f t="shared" si="450"/>
        <v>11155</v>
      </c>
      <c r="F146" s="995">
        <f t="shared" si="450"/>
        <v>10712</v>
      </c>
      <c r="G146" s="995">
        <f t="shared" si="450"/>
        <v>9713</v>
      </c>
      <c r="H146" s="186">
        <f t="shared" si="450"/>
        <v>9590</v>
      </c>
      <c r="I146" s="186">
        <f t="shared" si="450"/>
        <v>9508</v>
      </c>
      <c r="J146" s="186">
        <f t="shared" si="450"/>
        <v>9279</v>
      </c>
      <c r="K146" s="186">
        <f t="shared" si="450"/>
        <v>9260</v>
      </c>
      <c r="L146" s="995">
        <f t="shared" si="450"/>
        <v>9260</v>
      </c>
      <c r="M146" s="186">
        <f t="shared" si="450"/>
        <v>9142</v>
      </c>
      <c r="N146" s="186">
        <f t="shared" si="450"/>
        <v>8965</v>
      </c>
      <c r="O146" s="186">
        <f t="shared" si="450"/>
        <v>8949</v>
      </c>
      <c r="P146" s="186">
        <f t="shared" si="450"/>
        <v>8910</v>
      </c>
      <c r="Q146" s="995">
        <f t="shared" si="450"/>
        <v>8910</v>
      </c>
      <c r="R146" s="186">
        <f t="shared" si="450"/>
        <v>8803</v>
      </c>
      <c r="S146" s="186">
        <f t="shared" si="450"/>
        <v>8603</v>
      </c>
      <c r="T146" s="186">
        <f t="shared" si="450"/>
        <v>8665</v>
      </c>
      <c r="U146" s="186">
        <f t="shared" si="450"/>
        <v>8287</v>
      </c>
      <c r="V146" s="995">
        <f t="shared" si="450"/>
        <v>8287</v>
      </c>
      <c r="W146" s="186">
        <f t="shared" si="450"/>
        <v>8199</v>
      </c>
      <c r="X146" s="186">
        <f t="shared" si="450"/>
        <v>8150</v>
      </c>
      <c r="Y146" s="186">
        <f t="shared" si="450"/>
        <v>8345</v>
      </c>
      <c r="Z146" s="186">
        <f t="shared" si="450"/>
        <v>8309</v>
      </c>
      <c r="AA146" s="995">
        <f t="shared" si="450"/>
        <v>8309</v>
      </c>
      <c r="AB146" s="186">
        <f t="shared" si="450"/>
        <v>8298</v>
      </c>
      <c r="AC146" s="186">
        <f t="shared" si="450"/>
        <v>8258</v>
      </c>
      <c r="AD146" s="186">
        <f t="shared" si="450"/>
        <v>8314</v>
      </c>
      <c r="AE146" s="186">
        <f t="shared" si="450"/>
        <v>8370</v>
      </c>
      <c r="AF146" s="995">
        <f t="shared" si="450"/>
        <v>8370</v>
      </c>
      <c r="AG146" s="186">
        <f t="shared" si="450"/>
        <v>8281</v>
      </c>
      <c r="AH146" s="186">
        <f t="shared" si="450"/>
        <v>8234</v>
      </c>
      <c r="AI146" s="186">
        <f t="shared" si="450"/>
        <v>8162</v>
      </c>
      <c r="AJ146" s="186">
        <f t="shared" si="450"/>
        <v>8235</v>
      </c>
      <c r="AK146" s="995">
        <f t="shared" si="450"/>
        <v>8235</v>
      </c>
      <c r="AL146" s="186">
        <f t="shared" si="450"/>
        <v>8152</v>
      </c>
      <c r="AM146" s="186">
        <f t="shared" si="450"/>
        <v>8093</v>
      </c>
      <c r="AN146" s="186">
        <f>AN635</f>
        <v>8317</v>
      </c>
      <c r="AO146" s="186">
        <f t="shared" si="451" ref="AO146:AQ146">AO635</f>
        <v>8350</v>
      </c>
      <c r="AP146" s="995">
        <f t="shared" si="451"/>
        <v>8350</v>
      </c>
      <c r="AQ146" s="186">
        <f t="shared" si="451"/>
        <v>8345</v>
      </c>
      <c r="AR146" s="186">
        <f t="shared" si="452" ref="AR146:AW146">AR635</f>
        <v>8209</v>
      </c>
      <c r="AS146" s="186">
        <f t="shared" si="452"/>
        <v>8329</v>
      </c>
      <c r="AT146" s="186">
        <f t="shared" si="452"/>
        <v>8452</v>
      </c>
      <c r="AU146" s="995">
        <f t="shared" si="452"/>
        <v>8452</v>
      </c>
      <c r="AV146" s="186">
        <f t="shared" si="452"/>
        <v>8734</v>
      </c>
      <c r="AW146" s="186">
        <f t="shared" si="452"/>
        <v>8509</v>
      </c>
      <c r="AX146" s="186">
        <f t="shared" si="453" ref="AX146:BC146">AX635</f>
        <v>8202</v>
      </c>
      <c r="AY146" s="186">
        <f t="shared" si="453"/>
        <v>8063</v>
      </c>
      <c r="AZ146" s="995">
        <f t="shared" si="453"/>
        <v>8063</v>
      </c>
      <c r="BA146" s="186">
        <f t="shared" si="453"/>
        <v>8091</v>
      </c>
      <c r="BB146" s="186">
        <f t="shared" si="453"/>
        <v>8121</v>
      </c>
      <c r="BC146" s="186">
        <f t="shared" si="453"/>
        <v>8267</v>
      </c>
      <c r="BD146" s="186">
        <f>BD635</f>
        <v>8143</v>
      </c>
      <c r="BE146" s="995">
        <f>BE635</f>
        <v>8143</v>
      </c>
      <c r="BF146" s="186">
        <f>BF635</f>
        <v>8100</v>
      </c>
      <c r="BG146" s="186">
        <f>BG635</f>
        <v>8132</v>
      </c>
      <c r="BH146" s="746">
        <f>BH635</f>
        <v>8075</v>
      </c>
      <c r="BI146" s="205">
        <f>BH146+(INDEX(MO_LR_ChangeInNLR,0,COLUMN())*(1-INDEX(MO_UR_NRR,0,COLUMN())))</f>
        <v>8123.3747009327308</v>
      </c>
      <c r="BJ146" s="996">
        <f>BI146</f>
        <v>8123.3747009327308</v>
      </c>
      <c r="BK146" s="205">
        <f>BJ146+(INDEX(MO_LR_ChangeInNLR,0,COLUMN())*(1-INDEX(MO_UR_NRR,0,COLUMN())))</f>
        <v>8177.1006152511009</v>
      </c>
      <c r="BL146" s="205">
        <f>BK146+(INDEX(MO_LR_ChangeInNLR,0,COLUMN())*(1-INDEX(MO_UR_NRR,0,COLUMN())))</f>
        <v>8234.6781847226357</v>
      </c>
      <c r="BM146" s="205">
        <f>BL146+(INDEX(MO_LR_ChangeInNLR,0,COLUMN())*(1-INDEX(MO_UR_NRR,0,COLUMN())))</f>
        <v>8291.7140222609341</v>
      </c>
      <c r="BN146" s="205">
        <f>BM146+(INDEX(MO_LR_ChangeInNLR,0,COLUMN())*(1-INDEX(MO_UR_NRR,0,COLUMN())))</f>
        <v>8341.7831995496617</v>
      </c>
      <c r="BO146" s="996">
        <f>BN146</f>
        <v>8341.7831995496617</v>
      </c>
      <c r="BP146" s="996">
        <f>BO146+(INDEX(MO_LR_ChangeInNLR,0,COLUMN())*(1-INDEX(MO_UR_NRR,0,COLUMN())))</f>
        <v>8627.543528365064</v>
      </c>
      <c r="BQ146" s="996">
        <f>BP146+(INDEX(MO_LR_ChangeInNLR,0,COLUMN())*(1-INDEX(MO_UR_NRR,0,COLUMN())))</f>
        <v>8915.5246611296534</v>
      </c>
      <c r="BR146" s="996">
        <f>BQ146+(INDEX(MO_LR_ChangeInNLR,0,COLUMN())*(1-INDEX(MO_UR_NRR,0,COLUMN())))</f>
        <v>9214.9648223949553</v>
      </c>
      <c r="BS146" s="833"/>
    </row>
    <row r="147" spans="1:71" s="181" customFormat="1" ht="15" hidden="1" outlineLevel="1">
      <c r="A147" s="333" t="s">
        <v>91</v>
      </c>
      <c r="B147" s="447"/>
      <c r="C147" s="997">
        <f t="shared" si="454" ref="C147:AQ147">ROUND(INDEX(MO_LR_GLR,0,COLUMN())-INDEX(MO_LR_RR,0,COLUMN()),6)</f>
        <v>40311</v>
      </c>
      <c r="D147" s="997">
        <f t="shared" si="454"/>
        <v>39612</v>
      </c>
      <c r="E147" s="997">
        <f t="shared" si="454"/>
        <v>40237</v>
      </c>
      <c r="F147" s="997">
        <f t="shared" si="454"/>
        <v>40210</v>
      </c>
      <c r="G147" s="997">
        <f t="shared" si="454"/>
        <v>41182</v>
      </c>
      <c r="H147" s="193">
        <f t="shared" si="454"/>
        <v>40998</v>
      </c>
      <c r="I147" s="193">
        <f t="shared" si="454"/>
        <v>41348</v>
      </c>
      <c r="J147" s="193">
        <f t="shared" si="454"/>
        <v>41123</v>
      </c>
      <c r="K147" s="193">
        <f t="shared" si="454"/>
        <v>40590</v>
      </c>
      <c r="L147" s="997">
        <f t="shared" si="454"/>
        <v>40590</v>
      </c>
      <c r="M147" s="193">
        <f t="shared" si="454"/>
        <v>39852</v>
      </c>
      <c r="N147" s="193">
        <f t="shared" si="454"/>
        <v>39868</v>
      </c>
      <c r="O147" s="193">
        <f t="shared" si="454"/>
        <v>39647</v>
      </c>
      <c r="P147" s="193">
        <f t="shared" si="454"/>
        <v>39385</v>
      </c>
      <c r="Q147" s="997">
        <f t="shared" si="454"/>
        <v>39385</v>
      </c>
      <c r="R147" s="193">
        <f t="shared" si="454"/>
        <v>39837</v>
      </c>
      <c r="S147" s="193">
        <f t="shared" si="454"/>
        <v>39350</v>
      </c>
      <c r="T147" s="193">
        <f t="shared" si="454"/>
        <v>39503</v>
      </c>
      <c r="U147" s="193">
        <f t="shared" si="454"/>
        <v>39662</v>
      </c>
      <c r="V147" s="997">
        <f t="shared" si="454"/>
        <v>39662</v>
      </c>
      <c r="W147" s="193">
        <f t="shared" si="454"/>
        <v>40121</v>
      </c>
      <c r="X147" s="193">
        <f t="shared" si="454"/>
        <v>40424</v>
      </c>
      <c r="Y147" s="193">
        <f t="shared" si="454"/>
        <v>41405</v>
      </c>
      <c r="Z147" s="193">
        <f t="shared" si="454"/>
        <v>41341</v>
      </c>
      <c r="AA147" s="997">
        <f t="shared" si="454"/>
        <v>41341</v>
      </c>
      <c r="AB147" s="193">
        <f t="shared" si="454"/>
        <v>41512</v>
      </c>
      <c r="AC147" s="193">
        <f t="shared" si="454"/>
        <v>41703</v>
      </c>
      <c r="AD147" s="193">
        <f t="shared" si="454"/>
        <v>42116</v>
      </c>
      <c r="AE147" s="193">
        <f t="shared" si="454"/>
        <v>42298</v>
      </c>
      <c r="AF147" s="997">
        <f t="shared" si="454"/>
        <v>42298</v>
      </c>
      <c r="AG147" s="193">
        <f t="shared" si="454"/>
        <v>42437</v>
      </c>
      <c r="AH147" s="193">
        <f t="shared" si="454"/>
        <v>42839</v>
      </c>
      <c r="AI147" s="193">
        <f t="shared" si="454"/>
        <v>43450</v>
      </c>
      <c r="AJ147" s="193">
        <f t="shared" si="454"/>
        <v>43614</v>
      </c>
      <c r="AK147" s="997">
        <f t="shared" si="454"/>
        <v>43614</v>
      </c>
      <c r="AL147" s="193">
        <f t="shared" si="454"/>
        <v>43805</v>
      </c>
      <c r="AM147" s="193">
        <f t="shared" si="454"/>
        <v>45016</v>
      </c>
      <c r="AN147" s="193">
        <f>ROUND(INDEX(MO_LR_GLR,0,COLUMN())-INDEX(MO_LR_RR,0,COLUMN()),6)</f>
        <v>46101</v>
      </c>
      <c r="AO147" s="193">
        <f t="shared" si="454"/>
        <v>46171</v>
      </c>
      <c r="AP147" s="997">
        <f t="shared" si="454"/>
        <v>46171</v>
      </c>
      <c r="AQ147" s="193">
        <f t="shared" si="454"/>
        <v>46995</v>
      </c>
      <c r="AR147" s="193">
        <f t="shared" si="455" ref="AR147:AW147">ROUND(INDEX(MO_LR_GLR,0,COLUMN())-INDEX(MO_LR_RR,0,COLUMN()),6)</f>
        <v>47697</v>
      </c>
      <c r="AS147" s="193">
        <f t="shared" si="455"/>
        <v>48476</v>
      </c>
      <c r="AT147" s="193">
        <f t="shared" si="455"/>
        <v>48455</v>
      </c>
      <c r="AU147" s="997">
        <f t="shared" si="455"/>
        <v>48455</v>
      </c>
      <c r="AV147" s="193">
        <f t="shared" si="455"/>
        <v>48838</v>
      </c>
      <c r="AW147" s="193">
        <f t="shared" si="455"/>
        <v>49474</v>
      </c>
      <c r="AX147" s="193">
        <f t="shared" si="456" ref="AX147:BC147">ROUND(INDEX(MO_LR_GLR,0,COLUMN())-INDEX(MO_LR_RR,0,COLUMN()),6)</f>
        <v>49936</v>
      </c>
      <c r="AY147" s="193">
        <f t="shared" si="456"/>
        <v>50586</v>
      </c>
      <c r="AZ147" s="997">
        <f t="shared" si="456"/>
        <v>50586</v>
      </c>
      <c r="BA147" s="193">
        <f t="shared" si="456"/>
        <v>50973</v>
      </c>
      <c r="BB147" s="193">
        <f t="shared" si="456"/>
        <v>52450</v>
      </c>
      <c r="BC147" s="193">
        <f t="shared" si="456"/>
        <v>53442</v>
      </c>
      <c r="BD147" s="193">
        <f>ROUND(INDEX(MO_LR_GLR,0,COLUMN())-INDEX(MO_LR_RR,0,COLUMN()),6)</f>
        <v>53484</v>
      </c>
      <c r="BE147" s="997">
        <f>ROUND(INDEX(MO_LR_GLR,0,COLUMN())-INDEX(MO_LR_RR,0,COLUMN()),6)</f>
        <v>53484</v>
      </c>
      <c r="BF147" s="193">
        <f>ROUND(INDEX(MO_LR_GLR,0,COLUMN())-INDEX(MO_LR_RR,0,COLUMN()),6)</f>
        <v>54387</v>
      </c>
      <c r="BG147" s="193">
        <f>ROUND(INDEX(MO_LR_GLR,0,COLUMN())-INDEX(MO_LR_RR,0,COLUMN()),6)</f>
        <v>55725</v>
      </c>
      <c r="BH147" s="747">
        <f>ROUND(INDEX(MO_LR_GLR,0,COLUMN())-INDEX(MO_LR_RR,0,COLUMN()),6)</f>
        <v>56671</v>
      </c>
      <c r="BI147" s="194">
        <f>BH147+INDEX(MO_LR_ChangeInNLR,0,COLUMN())</f>
        <v>57638.029362000001</v>
      </c>
      <c r="BJ147" s="998">
        <f>ROUND(INDEX(MO_LR_GLR,0,COLUMN())-INDEX(MO_LR_RR,0,COLUMN()),6)</f>
        <v>57638.029362000001</v>
      </c>
      <c r="BK147" s="194">
        <f>BJ147+INDEX(MO_LR_ChangeInNLR,0,COLUMN())</f>
        <v>58667.647761</v>
      </c>
      <c r="BL147" s="194">
        <f>BK147+INDEX(MO_LR_ChangeInNLR,0,COLUMN())</f>
        <v>59820.693218</v>
      </c>
      <c r="BM147" s="194">
        <f>BL147+INDEX(MO_LR_ChangeInNLR,0,COLUMN())</f>
        <v>60975.693490999998</v>
      </c>
      <c r="BN147" s="194">
        <f>BM147+INDEX(MO_LR_ChangeInNLR,0,COLUMN())</f>
        <v>61983.380324999998</v>
      </c>
      <c r="BO147" s="998">
        <f>ROUND(INDEX(MO_LR_GLR,0,COLUMN())-INDEX(MO_LR_RR,0,COLUMN()),6)</f>
        <v>61983.380324999998</v>
      </c>
      <c r="BP147" s="998">
        <f>BO147+INDEX(MO_LR_ChangeInNLR,0,COLUMN())</f>
        <v>66372.869785000003</v>
      </c>
      <c r="BQ147" s="998">
        <f>BP147+INDEX(MO_LR_ChangeInNLR,0,COLUMN())</f>
        <v>70849.645713999998</v>
      </c>
      <c r="BR147" s="998">
        <f>BQ147+INDEX(MO_LR_ChangeInNLR,0,COLUMN())</f>
        <v>75561.403531000004</v>
      </c>
      <c r="BS147" s="423"/>
    </row>
    <row r="148" spans="1:71" s="24" customFormat="1" ht="15" hidden="1" outlineLevel="1">
      <c r="A148" s="830"/>
      <c r="B148" s="445"/>
      <c r="C148" s="994"/>
      <c r="D148" s="994"/>
      <c r="E148" s="994"/>
      <c r="F148" s="994"/>
      <c r="G148" s="994"/>
      <c r="H148" s="210"/>
      <c r="I148" s="210"/>
      <c r="J148" s="210"/>
      <c r="K148" s="210"/>
      <c r="L148" s="994"/>
      <c r="M148" s="210"/>
      <c r="N148" s="210"/>
      <c r="O148" s="210"/>
      <c r="P148" s="210"/>
      <c r="Q148" s="994"/>
      <c r="R148" s="210"/>
      <c r="S148" s="210"/>
      <c r="T148" s="210"/>
      <c r="U148" s="210"/>
      <c r="V148" s="994"/>
      <c r="W148" s="210"/>
      <c r="X148" s="210"/>
      <c r="Y148" s="210"/>
      <c r="Z148" s="210"/>
      <c r="AA148" s="994"/>
      <c r="AB148" s="210"/>
      <c r="AC148" s="210"/>
      <c r="AD148" s="210"/>
      <c r="AE148" s="210"/>
      <c r="AF148" s="994"/>
      <c r="AG148" s="210"/>
      <c r="AH148" s="210"/>
      <c r="AI148" s="210"/>
      <c r="AJ148" s="210"/>
      <c r="AK148" s="994"/>
      <c r="AL148" s="210"/>
      <c r="AM148" s="210"/>
      <c r="AN148" s="210"/>
      <c r="AO148" s="210"/>
      <c r="AP148" s="994"/>
      <c r="AQ148" s="210"/>
      <c r="AR148" s="210"/>
      <c r="AS148" s="210"/>
      <c r="AT148" s="210"/>
      <c r="AU148" s="994"/>
      <c r="AV148" s="210"/>
      <c r="AW148" s="210"/>
      <c r="AX148" s="210"/>
      <c r="AY148" s="210"/>
      <c r="AZ148" s="994"/>
      <c r="BA148" s="210"/>
      <c r="BB148" s="210"/>
      <c r="BC148" s="210"/>
      <c r="BD148" s="210"/>
      <c r="BE148" s="994"/>
      <c r="BF148" s="210"/>
      <c r="BG148" s="210"/>
      <c r="BH148" s="553"/>
      <c r="BI148" s="210"/>
      <c r="BJ148" s="994"/>
      <c r="BK148" s="210"/>
      <c r="BL148" s="210"/>
      <c r="BM148" s="210"/>
      <c r="BN148" s="210"/>
      <c r="BO148" s="994"/>
      <c r="BP148" s="994"/>
      <c r="BQ148" s="994"/>
      <c r="BR148" s="994"/>
      <c r="BS148" s="833"/>
    </row>
    <row r="149" spans="1:71" s="24" customFormat="1" ht="15" hidden="1" outlineLevel="1">
      <c r="A149" s="263" t="s">
        <v>92</v>
      </c>
      <c r="B149" s="445"/>
      <c r="C149" s="994"/>
      <c r="D149" s="993">
        <f t="shared" si="457" ref="D149:AQ149">INDEX(MO_UI_Loss,0,COLUMN())</f>
        <v>13210</v>
      </c>
      <c r="E149" s="993">
        <f t="shared" si="457"/>
        <v>16276</v>
      </c>
      <c r="F149" s="993">
        <f t="shared" si="457"/>
        <v>14676</v>
      </c>
      <c r="G149" s="993">
        <f t="shared" si="457"/>
        <v>13307</v>
      </c>
      <c r="H149" s="265">
        <f t="shared" si="457"/>
        <v>3315</v>
      </c>
      <c r="I149" s="265">
        <f t="shared" si="457"/>
        <v>3826</v>
      </c>
      <c r="J149" s="265">
        <f t="shared" si="457"/>
        <v>3520</v>
      </c>
      <c r="K149" s="265">
        <f t="shared" si="457"/>
        <v>3209</v>
      </c>
      <c r="L149" s="993">
        <f t="shared" si="457"/>
        <v>13870</v>
      </c>
      <c r="M149" s="265">
        <f t="shared" si="457"/>
        <v>3431</v>
      </c>
      <c r="N149" s="265">
        <f t="shared" si="457"/>
        <v>3547</v>
      </c>
      <c r="O149" s="265">
        <f t="shared" si="457"/>
        <v>3382</v>
      </c>
      <c r="P149" s="265">
        <f t="shared" si="457"/>
        <v>3363</v>
      </c>
      <c r="Q149" s="993">
        <f t="shared" si="457"/>
        <v>13723</v>
      </c>
      <c r="R149" s="265">
        <f t="shared" si="457"/>
        <v>3712</v>
      </c>
      <c r="S149" s="265">
        <f t="shared" si="457"/>
        <v>3762</v>
      </c>
      <c r="T149" s="265">
        <f t="shared" si="457"/>
        <v>3856</v>
      </c>
      <c r="U149" s="265">
        <f t="shared" si="457"/>
        <v>3740</v>
      </c>
      <c r="V149" s="993">
        <f t="shared" si="457"/>
        <v>15070</v>
      </c>
      <c r="W149" s="265">
        <f t="shared" si="457"/>
        <v>4094</v>
      </c>
      <c r="X149" s="265">
        <f t="shared" si="457"/>
        <v>4225</v>
      </c>
      <c r="Y149" s="265">
        <f t="shared" si="457"/>
        <v>4806</v>
      </c>
      <c r="Z149" s="265">
        <f t="shared" si="457"/>
        <v>4342</v>
      </c>
      <c r="AA149" s="993">
        <f t="shared" si="457"/>
        <v>17467</v>
      </c>
      <c r="AB149" s="265">
        <f t="shared" si="457"/>
        <v>4296</v>
      </c>
      <c r="AC149" s="265">
        <f t="shared" si="457"/>
        <v>4562</v>
      </c>
      <c r="AD149" s="265">
        <f t="shared" si="457"/>
        <v>4655</v>
      </c>
      <c r="AE149" s="265">
        <f t="shared" si="457"/>
        <v>4778</v>
      </c>
      <c r="AF149" s="993">
        <f t="shared" si="457"/>
        <v>18291</v>
      </c>
      <c r="AG149" s="265">
        <f t="shared" si="457"/>
        <v>4442</v>
      </c>
      <c r="AH149" s="265">
        <f t="shared" si="457"/>
        <v>4821</v>
      </c>
      <c r="AI149" s="265">
        <f t="shared" si="457"/>
        <v>5230</v>
      </c>
      <c r="AJ149" s="265">
        <f t="shared" si="457"/>
        <v>4640</v>
      </c>
      <c r="AK149" s="993">
        <f t="shared" si="457"/>
        <v>19133</v>
      </c>
      <c r="AL149" s="265">
        <f t="shared" si="457"/>
        <v>4789</v>
      </c>
      <c r="AM149" s="265">
        <f t="shared" si="457"/>
        <v>5107</v>
      </c>
      <c r="AN149" s="265">
        <f>INDEX(MO_UI_Loss,0,COLUMN())</f>
        <v>4886</v>
      </c>
      <c r="AO149" s="265">
        <f t="shared" si="457"/>
        <v>4341</v>
      </c>
      <c r="AP149" s="993">
        <f t="shared" si="457"/>
        <v>19123</v>
      </c>
      <c r="AQ149" s="265">
        <f t="shared" si="457"/>
        <v>4970</v>
      </c>
      <c r="AR149" s="265">
        <f t="shared" si="458" ref="AR149:AW149">INDEX(MO_UI_Loss,0,COLUMN())</f>
        <v>5045</v>
      </c>
      <c r="AS149" s="265">
        <f t="shared" si="458"/>
        <v>5464</v>
      </c>
      <c r="AT149" s="265">
        <f t="shared" si="458"/>
        <v>4819</v>
      </c>
      <c r="AU149" s="993">
        <f t="shared" si="458"/>
        <v>20298</v>
      </c>
      <c r="AV149" s="265">
        <f t="shared" si="458"/>
        <v>5039</v>
      </c>
      <c r="AW149" s="265">
        <f t="shared" si="458"/>
        <v>5803</v>
      </c>
      <c r="AX149" s="265">
        <f t="shared" si="459" ref="AX149:BJ149">INDEX(MO_UI_Loss,0,COLUMN())</f>
        <v>6088</v>
      </c>
      <c r="AY149" s="265">
        <f t="shared" si="459"/>
        <v>5924</v>
      </c>
      <c r="AZ149" s="993">
        <f t="shared" si="459"/>
        <v>22854</v>
      </c>
      <c r="BA149" s="265">
        <f t="shared" si="460" ref="BA149:BI149">INDEX(MO_UI_Loss,0,COLUMN())</f>
        <v>5959</v>
      </c>
      <c r="BB149" s="265">
        <f t="shared" si="460"/>
        <v>7227</v>
      </c>
      <c r="BC149" s="265">
        <f t="shared" si="460"/>
        <v>7149</v>
      </c>
      <c r="BD149" s="265">
        <f t="shared" si="460"/>
        <v>5880</v>
      </c>
      <c r="BE149" s="993">
        <f t="shared" si="460"/>
        <v>26215</v>
      </c>
      <c r="BF149" s="265">
        <f>INDEX(MO_UI_Loss,0,COLUMN())</f>
        <v>6656</v>
      </c>
      <c r="BG149" s="265">
        <f>INDEX(MO_UI_Loss,0,COLUMN())</f>
        <v>7373</v>
      </c>
      <c r="BH149" s="745">
        <f>INDEX(MO_UI_Loss,0,COLUMN())</f>
        <v>6996</v>
      </c>
      <c r="BI149" s="210">
        <f t="shared" si="460"/>
        <v>6446.8624150480009</v>
      </c>
      <c r="BJ149" s="994">
        <f t="shared" si="459"/>
        <v>27471.862415047999</v>
      </c>
      <c r="BK149" s="210">
        <f t="shared" si="461" ref="BK149:BR149">INDEX(MO_UI_Loss,0,COLUMN())</f>
        <v>6864.1226608760007</v>
      </c>
      <c r="BL149" s="210">
        <f t="shared" si="461"/>
        <v>7686.9697183070002</v>
      </c>
      <c r="BM149" s="210">
        <f t="shared" si="461"/>
        <v>7700.0018218750001</v>
      </c>
      <c r="BN149" s="210">
        <f t="shared" si="461"/>
        <v>6717.9122313938806</v>
      </c>
      <c r="BO149" s="994">
        <f t="shared" si="461"/>
        <v>28969.006432451883</v>
      </c>
      <c r="BP149" s="994">
        <f t="shared" si="461"/>
        <v>29263.263061557045</v>
      </c>
      <c r="BQ149" s="994">
        <f t="shared" si="461"/>
        <v>29845.172860943087</v>
      </c>
      <c r="BR149" s="994">
        <f t="shared" si="461"/>
        <v>31411.718779110251</v>
      </c>
      <c r="BS149" s="833"/>
    </row>
    <row r="150" spans="1:71" s="24" customFormat="1" ht="15" hidden="1" outlineLevel="1">
      <c r="A150" s="60" t="s">
        <v>93</v>
      </c>
      <c r="B150" s="446"/>
      <c r="C150" s="996"/>
      <c r="D150" s="995">
        <f t="shared" si="462" ref="D150:K150">ROUND(INDEX(MO_LR_LossIncurred,0,COLUMN())-INDEX(MO_LR_ChangeInNLR,0,COLUMN()),6)</f>
        <v>13909</v>
      </c>
      <c r="E150" s="995">
        <f t="shared" si="462"/>
        <v>15651</v>
      </c>
      <c r="F150" s="995">
        <f t="shared" si="462"/>
        <v>14703</v>
      </c>
      <c r="G150" s="995">
        <f t="shared" si="462"/>
        <v>12335</v>
      </c>
      <c r="H150" s="186">
        <f t="shared" si="462"/>
        <v>3499</v>
      </c>
      <c r="I150" s="186">
        <f t="shared" si="462"/>
        <v>3476</v>
      </c>
      <c r="J150" s="186">
        <f t="shared" si="462"/>
        <v>3745</v>
      </c>
      <c r="K150" s="186">
        <f t="shared" si="462"/>
        <v>3742</v>
      </c>
      <c r="L150" s="995">
        <f>SUM(H150,I150,J150,K150)</f>
        <v>14462</v>
      </c>
      <c r="M150" s="186">
        <f>ROUND(INDEX(MO_LR_LossIncurred,0,COLUMN())-INDEX(MO_LR_ChangeInNLR,0,COLUMN()),6)</f>
        <v>4169</v>
      </c>
      <c r="N150" s="186">
        <f>ROUND(INDEX(MO_LR_LossIncurred,0,COLUMN())-INDEX(MO_LR_ChangeInNLR,0,COLUMN()),6)</f>
        <v>3531</v>
      </c>
      <c r="O150" s="186">
        <f>ROUND(INDEX(MO_LR_LossIncurred,0,COLUMN())-INDEX(MO_LR_ChangeInNLR,0,COLUMN()),6)</f>
        <v>3603</v>
      </c>
      <c r="P150" s="186">
        <f>ROUND(INDEX(MO_LR_LossIncurred,0,COLUMN())-INDEX(MO_LR_ChangeInNLR,0,COLUMN()),6)</f>
        <v>3625</v>
      </c>
      <c r="Q150" s="995">
        <f>SUM(M150,N150,O150,P150)</f>
        <v>14928</v>
      </c>
      <c r="R150" s="186">
        <f>ROUND(INDEX(MO_LR_LossIncurred,0,COLUMN())-INDEX(MO_LR_ChangeInNLR,0,COLUMN()),6)</f>
        <v>3260</v>
      </c>
      <c r="S150" s="186">
        <f>ROUND(INDEX(MO_LR_LossIncurred,0,COLUMN())-INDEX(MO_LR_ChangeInNLR,0,COLUMN()),6)</f>
        <v>4249</v>
      </c>
      <c r="T150" s="186">
        <f>ROUND(INDEX(MO_LR_LossIncurred,0,COLUMN())-INDEX(MO_LR_ChangeInNLR,0,COLUMN()),6)</f>
        <v>3703</v>
      </c>
      <c r="U150" s="186">
        <f>ROUND(INDEX(MO_LR_LossIncurred,0,COLUMN())-INDEX(MO_LR_ChangeInNLR,0,COLUMN()),6)</f>
        <v>3581</v>
      </c>
      <c r="V150" s="995">
        <f>SUM(R150,S150,T150,U150)</f>
        <v>14793</v>
      </c>
      <c r="W150" s="186">
        <f>ROUND(INDEX(MO_LR_LossIncurred,0,COLUMN())-INDEX(MO_LR_ChangeInNLR,0,COLUMN()),6)</f>
        <v>3635</v>
      </c>
      <c r="X150" s="186">
        <f>ROUND(INDEX(MO_LR_LossIncurred,0,COLUMN())-INDEX(MO_LR_ChangeInNLR,0,COLUMN()),6)</f>
        <v>3922</v>
      </c>
      <c r="Y150" s="186">
        <f>ROUND(INDEX(MO_LR_LossIncurred,0,COLUMN())-INDEX(MO_LR_ChangeInNLR,0,COLUMN()),6)</f>
        <v>3825</v>
      </c>
      <c r="Z150" s="186">
        <f>ROUND(INDEX(MO_LR_LossIncurred,0,COLUMN())-INDEX(MO_LR_ChangeInNLR,0,COLUMN()),6)</f>
        <v>4406</v>
      </c>
      <c r="AA150" s="995">
        <f>SUM(W150,X150,Y150,Z150)</f>
        <v>15788</v>
      </c>
      <c r="AB150" s="186">
        <f>ROUND(INDEX(MO_LR_LossIncurred,0,COLUMN())-INDEX(MO_LR_ChangeInNLR,0,COLUMN()),6)</f>
        <v>4125</v>
      </c>
      <c r="AC150" s="186">
        <f>ROUND(INDEX(MO_LR_LossIncurred,0,COLUMN())-INDEX(MO_LR_ChangeInNLR,0,COLUMN()),6)</f>
        <v>4371</v>
      </c>
      <c r="AD150" s="186">
        <f>ROUND(INDEX(MO_LR_LossIncurred,0,COLUMN())-INDEX(MO_LR_ChangeInNLR,0,COLUMN()),6)</f>
        <v>4242</v>
      </c>
      <c r="AE150" s="186">
        <f>ROUND(INDEX(MO_LR_LossIncurred,0,COLUMN())-INDEX(MO_LR_ChangeInNLR,0,COLUMN()),6)</f>
        <v>4596</v>
      </c>
      <c r="AF150" s="995">
        <f>SUM(AB150,AC150,AD150,AE150)</f>
        <v>17334</v>
      </c>
      <c r="AG150" s="186">
        <f>ROUND(INDEX(MO_LR_LossIncurred,0,COLUMN())-INDEX(MO_LR_ChangeInNLR,0,COLUMN()),6)</f>
        <v>4303</v>
      </c>
      <c r="AH150" s="186">
        <f>ROUND(INDEX(MO_LR_LossIncurred,0,COLUMN())-INDEX(MO_LR_ChangeInNLR,0,COLUMN()),6)</f>
        <v>4419</v>
      </c>
      <c r="AI150" s="186">
        <f>ROUND(INDEX(MO_LR_LossIncurred,0,COLUMN())-INDEX(MO_LR_ChangeInNLR,0,COLUMN()),6)</f>
        <v>4619</v>
      </c>
      <c r="AJ150" s="186">
        <f>ROUND(INDEX(MO_LR_LossIncurred,0,COLUMN())-INDEX(MO_LR_ChangeInNLR,0,COLUMN()),6)</f>
        <v>4476</v>
      </c>
      <c r="AK150" s="995">
        <f>SUM(AG150,AH150,AI150,AJ150)</f>
        <v>17817</v>
      </c>
      <c r="AL150" s="186">
        <f>ROUND(INDEX(MO_LR_LossIncurred,0,COLUMN())-INDEX(MO_LR_ChangeInNLR,0,COLUMN()),6)</f>
        <v>4598</v>
      </c>
      <c r="AM150" s="186">
        <f>ROUND(INDEX(MO_LR_LossIncurred,0,COLUMN())-INDEX(MO_LR_ChangeInNLR,0,COLUMN()),6)</f>
        <v>3896</v>
      </c>
      <c r="AN150" s="186">
        <f>ROUND(INDEX(MO_LR_LossIncurred,0,COLUMN())-INDEX(MO_LR_ChangeInNLR,0,COLUMN()),6)</f>
        <v>3801</v>
      </c>
      <c r="AO150" s="186">
        <f>ROUND(INDEX(MO_LR_LossIncurred,0,COLUMN())-INDEX(MO_LR_ChangeInNLR,0,COLUMN()),6)</f>
        <v>4271</v>
      </c>
      <c r="AP150" s="995">
        <f>SUM(AL150,AM150,AN150,AO150)</f>
        <v>16566</v>
      </c>
      <c r="AQ150" s="186">
        <f>ROUND(INDEX(MO_LR_LossIncurred,0,COLUMN())-INDEX(MO_LR_ChangeInNLR,0,COLUMN()),6)</f>
        <v>4146</v>
      </c>
      <c r="AR150" s="186">
        <f>ROUND(INDEX(MO_LR_LossIncurred,0,COLUMN())-INDEX(MO_LR_ChangeInNLR,0,COLUMN()),6)</f>
        <v>4343</v>
      </c>
      <c r="AS150" s="186">
        <f>ROUND(INDEX(MO_LR_LossIncurred,0,COLUMN())-INDEX(MO_LR_ChangeInNLR,0,COLUMN()),6)</f>
        <v>4685</v>
      </c>
      <c r="AT150" s="186">
        <f>ROUND(INDEX(MO_LR_LossIncurred,0,COLUMN())-INDEX(MO_LR_ChangeInNLR,0,COLUMN()),6)</f>
        <v>4840</v>
      </c>
      <c r="AU150" s="995">
        <f>SUM(AQ150,AR150,AS150,AT150)</f>
        <v>18014</v>
      </c>
      <c r="AV150" s="186">
        <f>ROUND(INDEX(MO_LR_LossIncurred,0,COLUMN())-INDEX(MO_LR_ChangeInNLR,0,COLUMN()),6)</f>
        <v>4656</v>
      </c>
      <c r="AW150" s="186">
        <f>ROUND(INDEX(MO_LR_LossIncurred,0,COLUMN())-INDEX(MO_LR_ChangeInNLR,0,COLUMN()),6)</f>
        <v>5167</v>
      </c>
      <c r="AX150" s="186">
        <f>ROUND(INDEX(MO_LR_LossIncurred,0,COLUMN())-INDEX(MO_LR_ChangeInNLR,0,COLUMN()),6)</f>
        <v>5626</v>
      </c>
      <c r="AY150" s="186">
        <f>ROUND(INDEX(MO_LR_LossIncurred,0,COLUMN())-INDEX(MO_LR_ChangeInNLR,0,COLUMN()),6)</f>
        <v>5274</v>
      </c>
      <c r="AZ150" s="995">
        <f>SUM(AV150,AW150,AX150,AY150)</f>
        <v>20723</v>
      </c>
      <c r="BA150" s="186">
        <f>ROUND(INDEX(MO_LR_LossIncurred,0,COLUMN())-INDEX(MO_LR_ChangeInNLR,0,COLUMN()),6)</f>
        <v>5572</v>
      </c>
      <c r="BB150" s="186">
        <f>ROUND(INDEX(MO_LR_LossIncurred,0,COLUMN())-INDEX(MO_LR_ChangeInNLR,0,COLUMN()),6)</f>
        <v>5750</v>
      </c>
      <c r="BC150" s="186">
        <f>ROUND(INDEX(MO_LR_LossIncurred,0,COLUMN())-INDEX(MO_LR_ChangeInNLR,0,COLUMN()),6)</f>
        <v>6157</v>
      </c>
      <c r="BD150" s="186">
        <f>ROUND(INDEX(MO_LR_LossIncurred,0,COLUMN())-INDEX(MO_LR_ChangeInNLR,0,COLUMN()),6)</f>
        <v>5838</v>
      </c>
      <c r="BE150" s="995">
        <f>SUM(BA150,BB150,BC150,BD150)</f>
        <v>23317</v>
      </c>
      <c r="BF150" s="186">
        <f>ROUND(INDEX(MO_LR_LossIncurred,0,COLUMN())-INDEX(MO_LR_ChangeInNLR,0,COLUMN()),6)</f>
        <v>5753</v>
      </c>
      <c r="BG150" s="186">
        <f>ROUND(INDEX(MO_LR_LossIncurred,0,COLUMN())-INDEX(MO_LR_ChangeInNLR,0,COLUMN()),6)</f>
        <v>6035</v>
      </c>
      <c r="BH150" s="746">
        <f>ROUND(INDEX(MO_LR_LossIncurred,0,COLUMN())-INDEX(MO_LR_ChangeInNLR,0,COLUMN()),6)</f>
        <v>6050</v>
      </c>
      <c r="BI150" s="205">
        <f>ROUND(INDEX(MO_LR_LossIncurred,0,COLUMN())*INDEX(MO_LR_LossPayoutRatio,0,COLUMN()),6)</f>
        <v>5479.8330530000003</v>
      </c>
      <c r="BJ150" s="996">
        <f>SUM(BF150,BG150,BH150,BI150)</f>
        <v>23317.833053000002</v>
      </c>
      <c r="BK150" s="205">
        <f>ROUND(INDEX(MO_LR_LossIncurred,0,COLUMN())*INDEX(MO_LR_LossPayoutRatio,0,COLUMN()),6)</f>
        <v>5834.5042620000004</v>
      </c>
      <c r="BL150" s="205">
        <f>ROUND(INDEX(MO_LR_LossIncurred,0,COLUMN())*INDEX(MO_LR_LossPayoutRatio,0,COLUMN()),6)</f>
        <v>6533.9242610000001</v>
      </c>
      <c r="BM150" s="205">
        <f>ROUND(INDEX(MO_LR_LossIncurred,0,COLUMN())*INDEX(MO_LR_LossPayoutRatio,0,COLUMN()),6)</f>
        <v>6545.0015489999996</v>
      </c>
      <c r="BN150" s="205">
        <f>ROUND(INDEX(MO_LR_LossIncurred,0,COLUMN())*INDEX(MO_LR_LossPayoutRatio,0,COLUMN()),6)</f>
        <v>5710.2253970000002</v>
      </c>
      <c r="BO150" s="996">
        <f>SUM(BK150,BL150,BM150,BN150)</f>
        <v>24623.655468999998</v>
      </c>
      <c r="BP150" s="996">
        <f>ROUND(INDEX(MO_LR_LossIncurred,0,COLUMN())*INDEX(MO_LR_LossPayoutRatio,0,COLUMN()),6)</f>
        <v>24873.773602000001</v>
      </c>
      <c r="BQ150" s="996">
        <f>ROUND(INDEX(MO_LR_LossIncurred,0,COLUMN())*INDEX(MO_LR_LossPayoutRatio,0,COLUMN()),6)</f>
        <v>25368.396932</v>
      </c>
      <c r="BR150" s="996">
        <f>ROUND(INDEX(MO_LR_LossIncurred,0,COLUMN())*INDEX(MO_LR_LossPayoutRatio,0,COLUMN()),6)</f>
        <v>26699.960962000001</v>
      </c>
      <c r="BS150" s="833"/>
    </row>
    <row r="151" spans="1:71" s="181" customFormat="1" ht="15" hidden="1" outlineLevel="1">
      <c r="A151" s="62" t="s">
        <v>94</v>
      </c>
      <c r="B151" s="447"/>
      <c r="C151" s="998"/>
      <c r="D151" s="997">
        <f t="shared" si="463" ref="D151:K151">D147-C147</f>
        <v>-699</v>
      </c>
      <c r="E151" s="997">
        <f t="shared" si="463"/>
        <v>625</v>
      </c>
      <c r="F151" s="997">
        <f t="shared" si="463"/>
        <v>-27</v>
      </c>
      <c r="G151" s="997">
        <f t="shared" si="463"/>
        <v>972</v>
      </c>
      <c r="H151" s="193">
        <f t="shared" si="463"/>
        <v>-184</v>
      </c>
      <c r="I151" s="193">
        <f t="shared" si="463"/>
        <v>350</v>
      </c>
      <c r="J151" s="193">
        <f t="shared" si="463"/>
        <v>-225</v>
      </c>
      <c r="K151" s="193">
        <f t="shared" si="463"/>
        <v>-533</v>
      </c>
      <c r="L151" s="997">
        <f>L147-G147</f>
        <v>-592</v>
      </c>
      <c r="M151" s="193">
        <f>M147-L147</f>
        <v>-738</v>
      </c>
      <c r="N151" s="193">
        <f>N147-M147</f>
        <v>16</v>
      </c>
      <c r="O151" s="193">
        <f>O147-N147</f>
        <v>-221</v>
      </c>
      <c r="P151" s="193">
        <f>P147-O147</f>
        <v>-262</v>
      </c>
      <c r="Q151" s="997">
        <f>Q147-L147</f>
        <v>-1205</v>
      </c>
      <c r="R151" s="193">
        <f>R147-Q147</f>
        <v>452</v>
      </c>
      <c r="S151" s="193">
        <f>S147-R147</f>
        <v>-487</v>
      </c>
      <c r="T151" s="193">
        <f>T147-S147</f>
        <v>153</v>
      </c>
      <c r="U151" s="193">
        <f>U147-T147</f>
        <v>159</v>
      </c>
      <c r="V151" s="997">
        <f>V147-Q147</f>
        <v>277</v>
      </c>
      <c r="W151" s="193">
        <f>W147-V147</f>
        <v>459</v>
      </c>
      <c r="X151" s="193">
        <f>X147-W147</f>
        <v>303</v>
      </c>
      <c r="Y151" s="193">
        <f>Y147-X147</f>
        <v>981</v>
      </c>
      <c r="Z151" s="193">
        <f>Z147-Y147</f>
        <v>-64</v>
      </c>
      <c r="AA151" s="997">
        <f>AA147-V147</f>
        <v>1679</v>
      </c>
      <c r="AB151" s="193">
        <f>AB147-AA147</f>
        <v>171</v>
      </c>
      <c r="AC151" s="193">
        <f>AC147-AB147</f>
        <v>191</v>
      </c>
      <c r="AD151" s="193">
        <f>AD147-AC147</f>
        <v>413</v>
      </c>
      <c r="AE151" s="193">
        <f>AE147-AD147</f>
        <v>182</v>
      </c>
      <c r="AF151" s="997">
        <f>AF147-AA147</f>
        <v>957</v>
      </c>
      <c r="AG151" s="193">
        <f>AG147-AF147</f>
        <v>139</v>
      </c>
      <c r="AH151" s="193">
        <f>AH147-AG147</f>
        <v>402</v>
      </c>
      <c r="AI151" s="193">
        <f>AI147-AH147</f>
        <v>611</v>
      </c>
      <c r="AJ151" s="193">
        <f>AJ147-AI147</f>
        <v>164</v>
      </c>
      <c r="AK151" s="997">
        <f>AK147-AF147</f>
        <v>1316</v>
      </c>
      <c r="AL151" s="193">
        <f>AL147-AK147</f>
        <v>191</v>
      </c>
      <c r="AM151" s="193">
        <f>AM147-AL147</f>
        <v>1211</v>
      </c>
      <c r="AN151" s="193">
        <f>AN147-AM147</f>
        <v>1085</v>
      </c>
      <c r="AO151" s="193">
        <f>AO147-AN147</f>
        <v>70</v>
      </c>
      <c r="AP151" s="997">
        <f>AP147-AK147</f>
        <v>2557</v>
      </c>
      <c r="AQ151" s="193">
        <f>AQ147-AP147</f>
        <v>824</v>
      </c>
      <c r="AR151" s="193">
        <f>AR147-AQ147</f>
        <v>702</v>
      </c>
      <c r="AS151" s="193">
        <f>AS147-AR147</f>
        <v>779</v>
      </c>
      <c r="AT151" s="193">
        <f>AT147-AS147</f>
        <v>-21</v>
      </c>
      <c r="AU151" s="997">
        <f>AU147-AP147</f>
        <v>2284</v>
      </c>
      <c r="AV151" s="193">
        <f>AV147-AU147</f>
        <v>383</v>
      </c>
      <c r="AW151" s="193">
        <f>AW147-AV147</f>
        <v>636</v>
      </c>
      <c r="AX151" s="193">
        <f>AX147-AW147</f>
        <v>462</v>
      </c>
      <c r="AY151" s="193">
        <f>AY147-AX147</f>
        <v>650</v>
      </c>
      <c r="AZ151" s="997">
        <f>AZ147-AU147</f>
        <v>2131</v>
      </c>
      <c r="BA151" s="193">
        <f>BA147-AZ147</f>
        <v>387</v>
      </c>
      <c r="BB151" s="193">
        <f>BB147-BA147</f>
        <v>1477</v>
      </c>
      <c r="BC151" s="193">
        <f>BC147-BB147</f>
        <v>992</v>
      </c>
      <c r="BD151" s="193">
        <f>BD147-BC147</f>
        <v>42</v>
      </c>
      <c r="BE151" s="997">
        <f>BE147-AZ147</f>
        <v>2898</v>
      </c>
      <c r="BF151" s="193">
        <f>BF147-BE147</f>
        <v>903</v>
      </c>
      <c r="BG151" s="193">
        <f>BG147-BF147</f>
        <v>1338</v>
      </c>
      <c r="BH151" s="747">
        <f>BH147-BG147</f>
        <v>946</v>
      </c>
      <c r="BI151" s="194">
        <f>ROUND(INDEX(MO_LR_LossIncurred,0,COLUMN())-INDEX(MO_LR_LossPaid,0,COLUMN()),6)</f>
        <v>967.02936199999999</v>
      </c>
      <c r="BJ151" s="998">
        <f t="shared" si="464" ref="BJ151">ROUND(INDEX(MO_LR_LossIncurred,0,COLUMN())-INDEX(MO_LR_LossPaid,0,COLUMN()),6)</f>
        <v>4154.0293620000002</v>
      </c>
      <c r="BK151" s="194">
        <f t="shared" si="465" ref="BK151:BR151">ROUND(INDEX(MO_LR_LossIncurred,0,COLUMN())-INDEX(MO_LR_LossPaid,0,COLUMN()),6)</f>
        <v>1029.618399</v>
      </c>
      <c r="BL151" s="194">
        <f t="shared" si="465"/>
        <v>1153.0454569999999</v>
      </c>
      <c r="BM151" s="194">
        <f t="shared" si="465"/>
        <v>1155.0002730000001</v>
      </c>
      <c r="BN151" s="194">
        <f t="shared" si="465"/>
        <v>1007.686834</v>
      </c>
      <c r="BO151" s="998">
        <f t="shared" si="465"/>
        <v>4345.3509629999999</v>
      </c>
      <c r="BP151" s="998">
        <f t="shared" si="465"/>
        <v>4389.4894599999998</v>
      </c>
      <c r="BQ151" s="998">
        <f t="shared" si="465"/>
        <v>4476.7759290000004</v>
      </c>
      <c r="BR151" s="998">
        <f t="shared" si="465"/>
        <v>4711.7578169999997</v>
      </c>
      <c r="BS151" s="423"/>
    </row>
    <row r="152" spans="1:71" s="24" customFormat="1" ht="15" hidden="1" outlineLevel="1">
      <c r="A152" s="453"/>
      <c r="B152" s="445"/>
      <c r="C152" s="1011"/>
      <c r="D152" s="1011"/>
      <c r="E152" s="1011"/>
      <c r="F152" s="1011"/>
      <c r="G152" s="1011"/>
      <c r="H152" s="857"/>
      <c r="I152" s="857"/>
      <c r="J152" s="857"/>
      <c r="K152" s="857"/>
      <c r="L152" s="1011"/>
      <c r="M152" s="857"/>
      <c r="N152" s="857"/>
      <c r="O152" s="857"/>
      <c r="P152" s="857"/>
      <c r="Q152" s="1011"/>
      <c r="R152" s="857"/>
      <c r="S152" s="857"/>
      <c r="T152" s="857"/>
      <c r="U152" s="857"/>
      <c r="V152" s="1011"/>
      <c r="W152" s="857"/>
      <c r="X152" s="857"/>
      <c r="Y152" s="857"/>
      <c r="Z152" s="857"/>
      <c r="AA152" s="1011"/>
      <c r="AB152" s="857"/>
      <c r="AC152" s="857"/>
      <c r="AD152" s="857"/>
      <c r="AE152" s="857"/>
      <c r="AF152" s="1011"/>
      <c r="AG152" s="857"/>
      <c r="AH152" s="857"/>
      <c r="AI152" s="857"/>
      <c r="AJ152" s="857"/>
      <c r="AK152" s="1011"/>
      <c r="AL152" s="857"/>
      <c r="AM152" s="857"/>
      <c r="AN152" s="857"/>
      <c r="AO152" s="857"/>
      <c r="AP152" s="1011"/>
      <c r="AQ152" s="857"/>
      <c r="AR152" s="857"/>
      <c r="AS152" s="857"/>
      <c r="AT152" s="857"/>
      <c r="AU152" s="1011"/>
      <c r="AV152" s="857"/>
      <c r="AW152" s="857"/>
      <c r="AX152" s="857"/>
      <c r="AY152" s="857"/>
      <c r="AZ152" s="1011"/>
      <c r="BA152" s="857"/>
      <c r="BB152" s="857"/>
      <c r="BC152" s="857"/>
      <c r="BD152" s="857"/>
      <c r="BE152" s="1011"/>
      <c r="BF152" s="857"/>
      <c r="BG152" s="857"/>
      <c r="BH152" s="858"/>
      <c r="BI152" s="857"/>
      <c r="BJ152" s="1011"/>
      <c r="BK152" s="857"/>
      <c r="BL152" s="857"/>
      <c r="BM152" s="857"/>
      <c r="BN152" s="857"/>
      <c r="BO152" s="1011"/>
      <c r="BP152" s="1011"/>
      <c r="BQ152" s="1011"/>
      <c r="BR152" s="1011"/>
      <c r="BS152" s="833"/>
    </row>
    <row r="153" spans="1:71" s="182" customFormat="1" ht="15" hidden="1" outlineLevel="1">
      <c r="A153" s="84" t="s">
        <v>95</v>
      </c>
      <c r="B153" s="114"/>
      <c r="C153" s="1022"/>
      <c r="D153" s="1024">
        <f t="shared" si="466" ref="D153:AM153">D150/D149</f>
        <v>1.0529144587433763</v>
      </c>
      <c r="E153" s="1024">
        <f t="shared" si="466"/>
        <v>0.96159990169574838</v>
      </c>
      <c r="F153" s="1024">
        <f t="shared" si="466"/>
        <v>1.0018397383483237</v>
      </c>
      <c r="G153" s="1024">
        <f t="shared" si="466"/>
        <v>0.92695573758172389</v>
      </c>
      <c r="H153" s="662">
        <f t="shared" si="466"/>
        <v>1.0555052790346908</v>
      </c>
      <c r="I153" s="662">
        <f t="shared" si="466"/>
        <v>0.90852064819654987</v>
      </c>
      <c r="J153" s="662">
        <f t="shared" si="466"/>
        <v>1.0639204545454546</v>
      </c>
      <c r="K153" s="662">
        <f t="shared" si="466"/>
        <v>1.1660953568089747</v>
      </c>
      <c r="L153" s="1024">
        <f t="shared" si="466"/>
        <v>1.0426820475847152</v>
      </c>
      <c r="M153" s="662">
        <f t="shared" si="466"/>
        <v>1.215097639172253</v>
      </c>
      <c r="N153" s="662">
        <f t="shared" si="466"/>
        <v>0.99548914575697778</v>
      </c>
      <c r="O153" s="662">
        <f t="shared" si="466"/>
        <v>1.0653459491425192</v>
      </c>
      <c r="P153" s="662">
        <f t="shared" si="466"/>
        <v>1.0779066309842402</v>
      </c>
      <c r="Q153" s="1024">
        <f t="shared" si="466"/>
        <v>1.0878087881658529</v>
      </c>
      <c r="R153" s="662">
        <f t="shared" si="466"/>
        <v>0.87823275862068961</v>
      </c>
      <c r="S153" s="662">
        <f t="shared" si="466"/>
        <v>1.129452418926103</v>
      </c>
      <c r="T153" s="662">
        <f t="shared" si="466"/>
        <v>0.96032157676348551</v>
      </c>
      <c r="U153" s="662">
        <f t="shared" si="466"/>
        <v>0.95748663101604281</v>
      </c>
      <c r="V153" s="1024">
        <f t="shared" si="466"/>
        <v>0.98161911081619113</v>
      </c>
      <c r="W153" s="662">
        <f t="shared" si="466"/>
        <v>0.88788470933072794</v>
      </c>
      <c r="X153" s="662">
        <f t="shared" si="466"/>
        <v>0.92828402366863905</v>
      </c>
      <c r="Y153" s="662">
        <f t="shared" si="466"/>
        <v>0.79588014981273403</v>
      </c>
      <c r="Z153" s="662">
        <f t="shared" si="466"/>
        <v>1.0147397512666974</v>
      </c>
      <c r="AA153" s="1024">
        <f t="shared" si="466"/>
        <v>0.90387588023129328</v>
      </c>
      <c r="AB153" s="662">
        <f t="shared" si="466"/>
        <v>0.96019553072625696</v>
      </c>
      <c r="AC153" s="662">
        <f t="shared" si="466"/>
        <v>0.95813239807102146</v>
      </c>
      <c r="AD153" s="662">
        <f t="shared" si="466"/>
        <v>0.9112781954887218</v>
      </c>
      <c r="AE153" s="662">
        <f t="shared" si="466"/>
        <v>0.9619087484303056</v>
      </c>
      <c r="AF153" s="1024">
        <f t="shared" si="466"/>
        <v>0.94767918648515659</v>
      </c>
      <c r="AG153" s="662">
        <f t="shared" si="466"/>
        <v>0.96870778928410628</v>
      </c>
      <c r="AH153" s="662">
        <f t="shared" si="466"/>
        <v>0.91661481020535163</v>
      </c>
      <c r="AI153" s="662">
        <f t="shared" si="466"/>
        <v>0.88317399617590819</v>
      </c>
      <c r="AJ153" s="662">
        <f t="shared" si="466"/>
        <v>0.96465517241379306</v>
      </c>
      <c r="AK153" s="1024">
        <f t="shared" si="466"/>
        <v>0.93121831390790777</v>
      </c>
      <c r="AL153" s="662">
        <f t="shared" si="466"/>
        <v>0.96011693464188763</v>
      </c>
      <c r="AM153" s="662">
        <f t="shared" si="466"/>
        <v>0.76287448599960839</v>
      </c>
      <c r="AN153" s="662">
        <f>AN150/AN149</f>
        <v>0.77793696275071633</v>
      </c>
      <c r="AO153" s="662">
        <f t="shared" si="467" ref="AO153:AQ153">AO150/AO149</f>
        <v>0.98387468325270677</v>
      </c>
      <c r="AP153" s="1024">
        <f t="shared" si="467"/>
        <v>0.86628667050149033</v>
      </c>
      <c r="AQ153" s="662">
        <f t="shared" si="467"/>
        <v>0.83420523138833003</v>
      </c>
      <c r="AR153" s="662">
        <f t="shared" si="468" ref="AR153:AW153">AR150/AR149</f>
        <v>0.86085232903865216</v>
      </c>
      <c r="AS153" s="662">
        <f t="shared" si="468"/>
        <v>0.85743045387994143</v>
      </c>
      <c r="AT153" s="662">
        <f t="shared" si="468"/>
        <v>1.0043577505706578</v>
      </c>
      <c r="AU153" s="1024">
        <f t="shared" si="468"/>
        <v>0.88747659867967288</v>
      </c>
      <c r="AV153" s="662">
        <f t="shared" si="468"/>
        <v>0.92399285572534229</v>
      </c>
      <c r="AW153" s="662">
        <f t="shared" si="468"/>
        <v>0.89040151645700505</v>
      </c>
      <c r="AX153" s="662">
        <f t="shared" si="469" ref="AX153:BC153">AX150/AX149</f>
        <v>0.9241130091984231</v>
      </c>
      <c r="AY153" s="662">
        <f t="shared" si="469"/>
        <v>0.89027683997299123</v>
      </c>
      <c r="AZ153" s="1024">
        <f t="shared" si="469"/>
        <v>0.90675592894022927</v>
      </c>
      <c r="BA153" s="662">
        <f t="shared" si="469"/>
        <v>0.93505621748615542</v>
      </c>
      <c r="BB153" s="662">
        <f t="shared" si="469"/>
        <v>0.79562750795627513</v>
      </c>
      <c r="BC153" s="662">
        <f t="shared" si="469"/>
        <v>0.86123933417261156</v>
      </c>
      <c r="BD153" s="662">
        <f>BD150/BD149</f>
        <v>0.99285714285714288</v>
      </c>
      <c r="BE153" s="1024">
        <f>BE150/BE149</f>
        <v>0.88945260347129507</v>
      </c>
      <c r="BF153" s="662">
        <f>BF150/BF149</f>
        <v>0.86433293269230771</v>
      </c>
      <c r="BG153" s="662">
        <f>BG150/BG149</f>
        <v>0.81852705818527061</v>
      </c>
      <c r="BH153" s="760">
        <f>BH150/BH149</f>
        <v>0.86477987421383651</v>
      </c>
      <c r="BI153" s="915">
        <v>0.85</v>
      </c>
      <c r="BJ153" s="1022">
        <f>BJ150/BJ149</f>
        <v>0.84878967070785183</v>
      </c>
      <c r="BK153" s="915">
        <v>0.85</v>
      </c>
      <c r="BL153" s="915">
        <v>0.85</v>
      </c>
      <c r="BM153" s="915">
        <v>0.85</v>
      </c>
      <c r="BN153" s="915">
        <v>0.85</v>
      </c>
      <c r="BO153" s="1022">
        <f>BO150/BO149</f>
        <v>0.85000000004887633</v>
      </c>
      <c r="BP153" s="1025">
        <v>0.84999999999761133</v>
      </c>
      <c r="BQ153" s="1025">
        <v>0.84999999999761133</v>
      </c>
      <c r="BR153" s="1025">
        <v>0.84999999999761133</v>
      </c>
      <c r="BS153" s="662"/>
    </row>
    <row r="154" spans="1:71" s="24" customFormat="1" ht="15" collapsed="1">
      <c r="A154" s="449"/>
      <c r="B154" s="445"/>
      <c r="C154" s="1011"/>
      <c r="D154" s="1011"/>
      <c r="E154" s="1011"/>
      <c r="F154" s="1011"/>
      <c r="G154" s="1011"/>
      <c r="H154" s="857"/>
      <c r="I154" s="857"/>
      <c r="J154" s="857"/>
      <c r="K154" s="857"/>
      <c r="L154" s="1011"/>
      <c r="M154" s="857"/>
      <c r="N154" s="857"/>
      <c r="O154" s="857"/>
      <c r="P154" s="857"/>
      <c r="Q154" s="1011"/>
      <c r="R154" s="857"/>
      <c r="S154" s="857"/>
      <c r="T154" s="857"/>
      <c r="U154" s="857"/>
      <c r="V154" s="1011"/>
      <c r="W154" s="857"/>
      <c r="X154" s="857"/>
      <c r="Y154" s="857"/>
      <c r="Z154" s="857"/>
      <c r="AA154" s="1011"/>
      <c r="AB154" s="857"/>
      <c r="AC154" s="857"/>
      <c r="AD154" s="857"/>
      <c r="AE154" s="857"/>
      <c r="AF154" s="1011"/>
      <c r="AG154" s="857"/>
      <c r="AH154" s="857"/>
      <c r="AI154" s="857"/>
      <c r="AJ154" s="857"/>
      <c r="AK154" s="1011"/>
      <c r="AL154" s="857"/>
      <c r="AM154" s="857"/>
      <c r="AN154" s="857"/>
      <c r="AO154" s="857"/>
      <c r="AP154" s="1011"/>
      <c r="AQ154" s="857"/>
      <c r="AR154" s="857"/>
      <c r="AS154" s="857"/>
      <c r="AT154" s="857"/>
      <c r="AU154" s="1011"/>
      <c r="AV154" s="857"/>
      <c r="AW154" s="857"/>
      <c r="AX154" s="857"/>
      <c r="AY154" s="857"/>
      <c r="AZ154" s="1011"/>
      <c r="BA154" s="857"/>
      <c r="BB154" s="857"/>
      <c r="BC154" s="857"/>
      <c r="BD154" s="857"/>
      <c r="BE154" s="1011"/>
      <c r="BF154" s="857"/>
      <c r="BG154" s="857"/>
      <c r="BH154" s="858"/>
      <c r="BI154" s="857"/>
      <c r="BJ154" s="1011"/>
      <c r="BK154" s="857"/>
      <c r="BL154" s="857"/>
      <c r="BM154" s="857"/>
      <c r="BN154" s="857"/>
      <c r="BO154" s="1011"/>
      <c r="BP154" s="1011"/>
      <c r="BQ154" s="1011"/>
      <c r="BR154" s="1011"/>
      <c r="BS154" s="833"/>
    </row>
    <row r="155" spans="1:71" s="181" customFormat="1" ht="15">
      <c r="A155" s="826" t="s">
        <v>96</v>
      </c>
      <c r="B155" s="826"/>
      <c r="C155" s="847"/>
      <c r="D155" s="847"/>
      <c r="E155" s="847"/>
      <c r="F155" s="847"/>
      <c r="G155" s="847"/>
      <c r="H155" s="847"/>
      <c r="I155" s="847"/>
      <c r="J155" s="847"/>
      <c r="K155" s="847"/>
      <c r="L155" s="847"/>
      <c r="M155" s="847"/>
      <c r="N155" s="847"/>
      <c r="O155" s="847"/>
      <c r="P155" s="847"/>
      <c r="Q155" s="847"/>
      <c r="R155" s="847"/>
      <c r="S155" s="847"/>
      <c r="T155" s="847"/>
      <c r="U155" s="847"/>
      <c r="V155" s="847"/>
      <c r="W155" s="847"/>
      <c r="X155" s="847"/>
      <c r="Y155" s="847"/>
      <c r="Z155" s="847"/>
      <c r="AA155" s="847"/>
      <c r="AB155" s="847"/>
      <c r="AC155" s="847"/>
      <c r="AD155" s="847"/>
      <c r="AE155" s="847"/>
      <c r="AF155" s="847"/>
      <c r="AG155" s="847"/>
      <c r="AH155" s="847"/>
      <c r="AI155" s="847"/>
      <c r="AJ155" s="847"/>
      <c r="AK155" s="847"/>
      <c r="AL155" s="847"/>
      <c r="AM155" s="847"/>
      <c r="AN155" s="847"/>
      <c r="AO155" s="847"/>
      <c r="AP155" s="847"/>
      <c r="AQ155" s="847"/>
      <c r="AR155" s="847"/>
      <c r="AS155" s="847"/>
      <c r="AT155" s="847"/>
      <c r="AU155" s="847"/>
      <c r="AV155" s="847"/>
      <c r="AW155" s="847"/>
      <c r="AX155" s="847"/>
      <c r="AY155" s="847"/>
      <c r="AZ155" s="847"/>
      <c r="BA155" s="847"/>
      <c r="BB155" s="847"/>
      <c r="BC155" s="847"/>
      <c r="BD155" s="847"/>
      <c r="BE155" s="847"/>
      <c r="BF155" s="847"/>
      <c r="BG155" s="847"/>
      <c r="BH155" s="848"/>
      <c r="BI155" s="847"/>
      <c r="BJ155" s="847"/>
      <c r="BK155" s="847"/>
      <c r="BL155" s="847"/>
      <c r="BM155" s="847"/>
      <c r="BN155" s="847"/>
      <c r="BO155" s="847"/>
      <c r="BP155" s="847"/>
      <c r="BQ155" s="847"/>
      <c r="BR155" s="847"/>
      <c r="BS155" s="423"/>
    </row>
    <row r="156" spans="1:71" s="181" customFormat="1" ht="15" hidden="1" outlineLevel="1">
      <c r="A156" s="183" t="s">
        <v>97</v>
      </c>
      <c r="B156" s="451"/>
      <c r="C156" s="1008">
        <f t="shared" si="470" ref="C156:AM156">C631</f>
        <v>74965</v>
      </c>
      <c r="D156" s="1008">
        <f t="shared" si="470"/>
        <v>72722</v>
      </c>
      <c r="E156" s="1008">
        <f t="shared" si="470"/>
        <v>72701</v>
      </c>
      <c r="F156" s="1008">
        <f t="shared" si="470"/>
        <v>73838</v>
      </c>
      <c r="G156" s="1008">
        <f t="shared" si="470"/>
        <v>73160</v>
      </c>
      <c r="H156" s="185">
        <f t="shared" si="470"/>
        <v>73718</v>
      </c>
      <c r="I156" s="185">
        <f t="shared" si="470"/>
        <v>73941</v>
      </c>
      <c r="J156" s="185">
        <f t="shared" si="470"/>
        <v>74190</v>
      </c>
      <c r="K156" s="185">
        <f t="shared" si="470"/>
        <v>73261</v>
      </c>
      <c r="L156" s="1008">
        <f t="shared" si="470"/>
        <v>73261</v>
      </c>
      <c r="M156" s="185">
        <f t="shared" si="470"/>
        <v>72619</v>
      </c>
      <c r="N156" s="185">
        <f t="shared" si="470"/>
        <v>71230</v>
      </c>
      <c r="O156" s="185">
        <f t="shared" si="470"/>
        <v>72059</v>
      </c>
      <c r="P156" s="185">
        <f t="shared" si="470"/>
        <v>70470</v>
      </c>
      <c r="Q156" s="1008">
        <f t="shared" si="470"/>
        <v>70470</v>
      </c>
      <c r="R156" s="185">
        <f t="shared" si="470"/>
        <v>71678</v>
      </c>
      <c r="S156" s="185">
        <f t="shared" si="470"/>
        <v>72470</v>
      </c>
      <c r="T156" s="185">
        <f t="shared" si="470"/>
        <v>72964</v>
      </c>
      <c r="U156" s="185">
        <f t="shared" si="470"/>
        <v>70488</v>
      </c>
      <c r="V156" s="1008">
        <f t="shared" si="470"/>
        <v>70488</v>
      </c>
      <c r="W156" s="185">
        <f t="shared" si="470"/>
        <v>71257</v>
      </c>
      <c r="X156" s="185">
        <f t="shared" si="470"/>
        <v>72331</v>
      </c>
      <c r="Y156" s="185">
        <f t="shared" si="470"/>
        <v>73092</v>
      </c>
      <c r="Z156" s="185">
        <f t="shared" si="470"/>
        <v>72502</v>
      </c>
      <c r="AA156" s="1008">
        <f t="shared" si="470"/>
        <v>72502</v>
      </c>
      <c r="AB156" s="185">
        <f t="shared" si="470"/>
        <v>71724</v>
      </c>
      <c r="AC156" s="185">
        <f t="shared" si="470"/>
        <v>71161</v>
      </c>
      <c r="AD156" s="185">
        <f t="shared" si="470"/>
        <v>71853</v>
      </c>
      <c r="AE156" s="185">
        <f t="shared" si="470"/>
        <v>72278</v>
      </c>
      <c r="AF156" s="1008">
        <f t="shared" si="470"/>
        <v>72278</v>
      </c>
      <c r="AG156" s="185">
        <f t="shared" si="470"/>
        <v>74517</v>
      </c>
      <c r="AH156" s="185">
        <f t="shared" si="470"/>
        <v>75496</v>
      </c>
      <c r="AI156" s="185">
        <f t="shared" si="470"/>
        <v>77420</v>
      </c>
      <c r="AJ156" s="185">
        <f t="shared" si="470"/>
        <v>77884</v>
      </c>
      <c r="AK156" s="1008">
        <f t="shared" si="470"/>
        <v>77884</v>
      </c>
      <c r="AL156" s="185">
        <f t="shared" si="470"/>
        <v>76650</v>
      </c>
      <c r="AM156" s="185">
        <f t="shared" si="470"/>
        <v>80601</v>
      </c>
      <c r="AN156" s="185">
        <f>AN631</f>
        <v>83561</v>
      </c>
      <c r="AO156" s="185">
        <f t="shared" si="471" ref="AO156:AQ156">AO631</f>
        <v>84423</v>
      </c>
      <c r="AP156" s="1008">
        <f t="shared" si="471"/>
        <v>84423</v>
      </c>
      <c r="AQ156" s="185">
        <f t="shared" si="471"/>
        <v>83887</v>
      </c>
      <c r="AR156" s="185">
        <f t="shared" si="472" ref="AR156:AW156">AR631</f>
        <v>86545</v>
      </c>
      <c r="AS156" s="185">
        <f t="shared" si="472"/>
        <v>87506</v>
      </c>
      <c r="AT156" s="185">
        <f t="shared" si="472"/>
        <v>87375</v>
      </c>
      <c r="AU156" s="1008">
        <f t="shared" si="472"/>
        <v>87375</v>
      </c>
      <c r="AV156" s="185">
        <f t="shared" si="472"/>
        <v>83664</v>
      </c>
      <c r="AW156" s="185">
        <f t="shared" si="472"/>
        <v>80459</v>
      </c>
      <c r="AX156" s="185">
        <f t="shared" si="473" ref="AX156:BC156">AX631</f>
        <v>78113</v>
      </c>
      <c r="AY156" s="185">
        <f t="shared" si="473"/>
        <v>80454</v>
      </c>
      <c r="AZ156" s="1008">
        <f t="shared" si="473"/>
        <v>80454</v>
      </c>
      <c r="BA156" s="185">
        <f t="shared" si="473"/>
        <v>82035</v>
      </c>
      <c r="BB156" s="185">
        <f t="shared" si="473"/>
        <v>82973</v>
      </c>
      <c r="BC156" s="185">
        <f t="shared" si="473"/>
        <v>82956</v>
      </c>
      <c r="BD156" s="185">
        <f>BD631</f>
        <v>88810</v>
      </c>
      <c r="BE156" s="1008">
        <f>BE631</f>
        <v>88810</v>
      </c>
      <c r="BF156" s="185">
        <f>BF631</f>
        <v>88657</v>
      </c>
      <c r="BG156" s="185">
        <f>BG631</f>
        <v>89511</v>
      </c>
      <c r="BH156" s="749">
        <f>BH631</f>
        <v>95450</v>
      </c>
      <c r="BI156" s="199">
        <f>BD156*(1+BI157)</f>
        <v>90586.199999999997</v>
      </c>
      <c r="BJ156" s="1009">
        <f>BI156</f>
        <v>90586.199999999997</v>
      </c>
      <c r="BK156" s="199">
        <f>BF156*(1+BK157)</f>
        <v>84224.149999999994</v>
      </c>
      <c r="BL156" s="199">
        <f>BG156*(1+BL157)</f>
        <v>91301.220000000001</v>
      </c>
      <c r="BM156" s="199">
        <f>BH156*(1+BM157)</f>
        <v>97359</v>
      </c>
      <c r="BN156" s="199">
        <f>BI156*(1+BN157)</f>
        <v>92397.923999999999</v>
      </c>
      <c r="BO156" s="1009">
        <f>BN156</f>
        <v>92397.923999999999</v>
      </c>
      <c r="BP156" s="1009">
        <f>BO156*(1+BP157)</f>
        <v>93321.90324</v>
      </c>
      <c r="BQ156" s="1009">
        <f>BP156*(1+BQ157)</f>
        <v>94255.122272399996</v>
      </c>
      <c r="BR156" s="1009">
        <f>BQ156*(1+BR157)</f>
        <v>95197.673495123992</v>
      </c>
      <c r="BS156" s="423"/>
    </row>
    <row r="157" spans="1:71" s="182" customFormat="1" ht="15" hidden="1" outlineLevel="1">
      <c r="A157" s="84" t="s">
        <v>98</v>
      </c>
      <c r="B157" s="136"/>
      <c r="C157" s="1023"/>
      <c r="D157" s="1026">
        <f>D156/C156-1</f>
        <v>-0.029920629627159356</v>
      </c>
      <c r="E157" s="1026">
        <f>E156/D156-1</f>
        <v>-0.00028877093589285696</v>
      </c>
      <c r="F157" s="1026">
        <f>F156/E156-1</f>
        <v>0.015639399733153647</v>
      </c>
      <c r="G157" s="1026">
        <f>G156/F156-1</f>
        <v>-0.0091822638749695651</v>
      </c>
      <c r="H157" s="429"/>
      <c r="I157" s="429"/>
      <c r="J157" s="429"/>
      <c r="K157" s="429"/>
      <c r="L157" s="1026">
        <f t="shared" si="474" ref="L157:AQ157">L156/G156-1</f>
        <v>0.0013805358119189926</v>
      </c>
      <c r="M157" s="86">
        <f t="shared" si="474"/>
        <v>-0.014908163542147079</v>
      </c>
      <c r="N157" s="86">
        <f t="shared" si="474"/>
        <v>-0.036664367536278886</v>
      </c>
      <c r="O157" s="86">
        <f t="shared" si="474"/>
        <v>-0.028723547647930947</v>
      </c>
      <c r="P157" s="86">
        <f t="shared" si="474"/>
        <v>-0.038096668077148843</v>
      </c>
      <c r="Q157" s="1026">
        <f t="shared" si="474"/>
        <v>-0.038096668077148843</v>
      </c>
      <c r="R157" s="86">
        <f t="shared" si="474"/>
        <v>-0.012958041283961497</v>
      </c>
      <c r="S157" s="86">
        <f t="shared" si="474"/>
        <v>0.017408395339042482</v>
      </c>
      <c r="T157" s="86">
        <f t="shared" si="474"/>
        <v>0.012559152916360228</v>
      </c>
      <c r="U157" s="86">
        <f t="shared" si="474"/>
        <v>0.00025542784163468113</v>
      </c>
      <c r="V157" s="1026">
        <f t="shared" si="474"/>
        <v>0.00025542784163468113</v>
      </c>
      <c r="W157" s="86">
        <f t="shared" si="474"/>
        <v>-0.005873489773710161</v>
      </c>
      <c r="X157" s="86">
        <f t="shared" si="474"/>
        <v>-0.0019180350489858</v>
      </c>
      <c r="Y157" s="86">
        <f t="shared" si="474"/>
        <v>0.0017542897867441898</v>
      </c>
      <c r="Z157" s="86">
        <f t="shared" si="474"/>
        <v>0.028572239246396514</v>
      </c>
      <c r="AA157" s="1026">
        <f t="shared" si="474"/>
        <v>0.028572239246396514</v>
      </c>
      <c r="AB157" s="86">
        <f t="shared" si="474"/>
        <v>0.0065537420884964614</v>
      </c>
      <c r="AC157" s="86">
        <f t="shared" si="474"/>
        <v>-0.016175637002115328</v>
      </c>
      <c r="AD157" s="86">
        <f t="shared" si="474"/>
        <v>-0.016951239533738338</v>
      </c>
      <c r="AE157" s="86">
        <f t="shared" si="474"/>
        <v>-0.0030895699428981072</v>
      </c>
      <c r="AF157" s="1026">
        <f t="shared" si="474"/>
        <v>-0.0030895699428981072</v>
      </c>
      <c r="AG157" s="86">
        <f t="shared" si="474"/>
        <v>0.038940940271039004</v>
      </c>
      <c r="AH157" s="86">
        <f t="shared" si="474"/>
        <v>0.060918199575610288</v>
      </c>
      <c r="AI157" s="86">
        <f t="shared" si="474"/>
        <v>0.077477627934811277</v>
      </c>
      <c r="AJ157" s="86">
        <f t="shared" si="474"/>
        <v>0.077561637012645512</v>
      </c>
      <c r="AK157" s="1026">
        <f t="shared" si="474"/>
        <v>0.077561637012645512</v>
      </c>
      <c r="AL157" s="86">
        <f t="shared" si="474"/>
        <v>0.028624340754458633</v>
      </c>
      <c r="AM157" s="86">
        <f t="shared" si="474"/>
        <v>0.06761947652855782</v>
      </c>
      <c r="AN157" s="86">
        <f>AN156/AI156-1</f>
        <v>0.079320588995091645</v>
      </c>
      <c r="AO157" s="86">
        <f t="shared" si="474"/>
        <v>0.083958194237583994</v>
      </c>
      <c r="AP157" s="1026">
        <f t="shared" si="474"/>
        <v>0.083958194237583994</v>
      </c>
      <c r="AQ157" s="86">
        <f t="shared" si="474"/>
        <v>0.094416177429875958</v>
      </c>
      <c r="AR157" s="86">
        <f t="shared" si="475" ref="AR157:AW157">AR156/AM156-1</f>
        <v>0.073745983300455231</v>
      </c>
      <c r="AS157" s="86">
        <f t="shared" si="475"/>
        <v>0.047211019494740381</v>
      </c>
      <c r="AT157" s="86">
        <f t="shared" si="475"/>
        <v>0.034966774457197758</v>
      </c>
      <c r="AU157" s="1026">
        <f t="shared" si="475"/>
        <v>0.034966774457197758</v>
      </c>
      <c r="AV157" s="86">
        <f t="shared" si="475"/>
        <v>-0.0026583380023126324</v>
      </c>
      <c r="AW157" s="86">
        <f t="shared" si="475"/>
        <v>-0.07032179790860249</v>
      </c>
      <c r="AX157" s="86">
        <f t="shared" si="476" ref="AX157:BC157">AX156/AS156-1</f>
        <v>-0.10734121088839621</v>
      </c>
      <c r="AY157" s="86">
        <f t="shared" si="476"/>
        <v>-0.079210300429184533</v>
      </c>
      <c r="AZ157" s="1026">
        <f t="shared" si="476"/>
        <v>-0.079210300429184533</v>
      </c>
      <c r="BA157" s="86">
        <f t="shared" si="476"/>
        <v>-0.019470740103270212</v>
      </c>
      <c r="BB157" s="86">
        <f t="shared" si="476"/>
        <v>0.031245727637678744</v>
      </c>
      <c r="BC157" s="86">
        <f t="shared" si="476"/>
        <v>0.0619999231882018</v>
      </c>
      <c r="BD157" s="86">
        <f>BD156/AY156-1</f>
        <v>0.10386059114525059</v>
      </c>
      <c r="BE157" s="1026">
        <f>BE156/AZ156-1</f>
        <v>0.10386059114525059</v>
      </c>
      <c r="BF157" s="86">
        <f>BF156/BA156-1</f>
        <v>0.080721643201072668</v>
      </c>
      <c r="BG157" s="86">
        <f>BG156/BB156-1</f>
        <v>0.078796717004326666</v>
      </c>
      <c r="BH157" s="761">
        <f>BH156/BC156-1</f>
        <v>0.15060996190751719</v>
      </c>
      <c r="BI157" s="917">
        <v>0.02</v>
      </c>
      <c r="BJ157" s="1023">
        <f>BJ156/BE156-1</f>
        <v>0.020000000000000018</v>
      </c>
      <c r="BK157" s="917">
        <v>-0.05</v>
      </c>
      <c r="BL157" s="917">
        <v>0.02</v>
      </c>
      <c r="BM157" s="917">
        <v>0.02</v>
      </c>
      <c r="BN157" s="917">
        <v>0.02</v>
      </c>
      <c r="BO157" s="1023">
        <f>BO156/BJ156-1</f>
        <v>0.020000000000000018</v>
      </c>
      <c r="BP157" s="1027">
        <v>0.010000000000000009</v>
      </c>
      <c r="BQ157" s="1027">
        <v>0.010000000000000009</v>
      </c>
      <c r="BR157" s="1027">
        <v>0.010000000000000009</v>
      </c>
      <c r="BS157" s="662"/>
    </row>
    <row r="158" spans="1:71" s="181" customFormat="1" ht="15" hidden="1" outlineLevel="1">
      <c r="A158" s="183" t="s">
        <v>99</v>
      </c>
      <c r="B158" s="451"/>
      <c r="C158" s="1009"/>
      <c r="D158" s="1008">
        <f t="shared" si="477" ref="D158:K158">AVERAGE(C156,D156)</f>
        <v>73843.50</v>
      </c>
      <c r="E158" s="1008">
        <f t="shared" si="477"/>
        <v>72711.50</v>
      </c>
      <c r="F158" s="1008">
        <f t="shared" si="477"/>
        <v>73269.50</v>
      </c>
      <c r="G158" s="1008">
        <f t="shared" si="477"/>
        <v>73499</v>
      </c>
      <c r="H158" s="185">
        <f t="shared" si="477"/>
        <v>73439</v>
      </c>
      <c r="I158" s="185">
        <f t="shared" si="477"/>
        <v>73829.50</v>
      </c>
      <c r="J158" s="185">
        <f t="shared" si="477"/>
        <v>74065.50</v>
      </c>
      <c r="K158" s="185">
        <f t="shared" si="477"/>
        <v>73725.50</v>
      </c>
      <c r="L158" s="1008">
        <f>SUM(H158*H3,I158*I3,J158*J3,K158*K3)/L3</f>
        <v>73766.483561643836</v>
      </c>
      <c r="M158" s="185">
        <f>AVERAGE(L156,M156)</f>
        <v>72940</v>
      </c>
      <c r="N158" s="185">
        <f>AVERAGE(M156,N156)</f>
        <v>71924.50</v>
      </c>
      <c r="O158" s="185">
        <f>AVERAGE(N156,O156)</f>
        <v>71644.50</v>
      </c>
      <c r="P158" s="185">
        <f>AVERAGE(O156,P156)</f>
        <v>71264.50</v>
      </c>
      <c r="Q158" s="1008">
        <f>SUM(M158*M3,N158*N3,O158*O3,P158*P3)/Q3</f>
        <v>71937.965753424651</v>
      </c>
      <c r="R158" s="185">
        <f>AVERAGE(Q156,R156)</f>
        <v>71074</v>
      </c>
      <c r="S158" s="185">
        <f>AVERAGE(R156,S156)</f>
        <v>72074</v>
      </c>
      <c r="T158" s="185">
        <f>AVERAGE(S156,T156)</f>
        <v>72717</v>
      </c>
      <c r="U158" s="185">
        <f>AVERAGE(T156,U156)</f>
        <v>71726</v>
      </c>
      <c r="V158" s="1008">
        <f>SUM(R158*R3,S158*S3,T158*T3,U158*U3)/V3</f>
        <v>71899.519125683059</v>
      </c>
      <c r="W158" s="185">
        <f>AVERAGE(V156,W156)</f>
        <v>70872.50</v>
      </c>
      <c r="X158" s="185">
        <f>AVERAGE(W156,X156)</f>
        <v>71794</v>
      </c>
      <c r="Y158" s="185">
        <f>AVERAGE(X156,Y156)</f>
        <v>72711.50</v>
      </c>
      <c r="Z158" s="185">
        <f>AVERAGE(Y156,Z156)</f>
        <v>72797</v>
      </c>
      <c r="AA158" s="1008">
        <f>SUM(W158*W3,X158*X3,Y158*Y3,Z158*Z3)/AA3</f>
        <v>72050.852054794523</v>
      </c>
      <c r="AB158" s="185">
        <f>AVERAGE(AA156,AB156)</f>
        <v>72113</v>
      </c>
      <c r="AC158" s="185">
        <f>AVERAGE(AB156,AC156)</f>
        <v>71442.50</v>
      </c>
      <c r="AD158" s="185">
        <f>AVERAGE(AC156,AD156)</f>
        <v>71507</v>
      </c>
      <c r="AE158" s="185">
        <f>AVERAGE(AD156,AE156)</f>
        <v>72065.50</v>
      </c>
      <c r="AF158" s="1008">
        <f>SUM(AB158*AB3,AC158*AC3,AD158*AD3,AE158*AE3)/AF3</f>
        <v>71781.11643835617</v>
      </c>
      <c r="AG158" s="185">
        <f>AVERAGE(AF156,AG156)</f>
        <v>73397.50</v>
      </c>
      <c r="AH158" s="185">
        <f>AVERAGE(AG156,AH156)</f>
        <v>75006.50</v>
      </c>
      <c r="AI158" s="185">
        <f>AVERAGE(AH156,AI156)</f>
        <v>76458</v>
      </c>
      <c r="AJ158" s="185">
        <f>AVERAGE(AI156,AJ156)</f>
        <v>77652</v>
      </c>
      <c r="AK158" s="1008">
        <f>SUM(AG158*AG3,AH158*AH3,AI158*AI3,AJ158*AJ3)/AK3</f>
        <v>75642.428767123289</v>
      </c>
      <c r="AL158" s="185">
        <f>AVERAGE(AK156,AL156)</f>
        <v>77267</v>
      </c>
      <c r="AM158" s="185">
        <f>AVERAGE(AL156,AM156)</f>
        <v>78625.50</v>
      </c>
      <c r="AN158" s="185">
        <f>AVERAGE(AM156,AN156)</f>
        <v>82081</v>
      </c>
      <c r="AO158" s="185">
        <f>AVERAGE(AN156,AO156)</f>
        <v>83992</v>
      </c>
      <c r="AP158" s="1008">
        <f>SUM(AL158*AL3,AM158*AM3,AN158*AN3,AO158*AO3)/AP3</f>
        <v>80505.282786885247</v>
      </c>
      <c r="AQ158" s="185">
        <f>AVERAGE(AP156,AQ156)</f>
        <v>84155</v>
      </c>
      <c r="AR158" s="185">
        <f>AVERAGE(AQ156,AR156)</f>
        <v>85216</v>
      </c>
      <c r="AS158" s="185">
        <f>AVERAGE(AR156,AS156)</f>
        <v>87025.50</v>
      </c>
      <c r="AT158" s="185">
        <f>AVERAGE(AS156,AT156)</f>
        <v>87440.50</v>
      </c>
      <c r="AU158" s="1008">
        <f>SUM(AQ158*AQ3,AR158*AR3,AS158*AS3,AT158*AT3)/AU3</f>
        <v>85971.172602739724</v>
      </c>
      <c r="AV158" s="185">
        <f>AVERAGE(AU156,AV156)</f>
        <v>85519.50</v>
      </c>
      <c r="AW158" s="185">
        <f>AVERAGE(AV156,AW156)</f>
        <v>82061.50</v>
      </c>
      <c r="AX158" s="185">
        <f>AVERAGE(AW156,AX156)</f>
        <v>79286</v>
      </c>
      <c r="AY158" s="185">
        <f>AVERAGE(AX156,AY156)</f>
        <v>79283.50</v>
      </c>
      <c r="AZ158" s="1008">
        <f>SUM(AV158*AV3,AW158*AW3,AX158*AX3,AY158*AY3)/AZ3</f>
        <v>81514.371232876714</v>
      </c>
      <c r="BA158" s="185">
        <f>AVERAGE(AZ156,BA156)</f>
        <v>81244.50</v>
      </c>
      <c r="BB158" s="185">
        <f>AVERAGE(BA156,BB156)</f>
        <v>82504</v>
      </c>
      <c r="BC158" s="185">
        <f>AVERAGE(BB156,BC156)</f>
        <v>82964.50</v>
      </c>
      <c r="BD158" s="185">
        <f>AVERAGE(BC156,BD156)</f>
        <v>85883</v>
      </c>
      <c r="BE158" s="1008">
        <f>SUM(BA158*BA3,BB158*BB3,BC158*BC3,BD158*BD3)/BE3</f>
        <v>83161.202739726024</v>
      </c>
      <c r="BF158" s="185">
        <f>AVERAGE(BE156,BF156)</f>
        <v>88733.50</v>
      </c>
      <c r="BG158" s="185">
        <f>AVERAGE(BF156,BG156)</f>
        <v>89084</v>
      </c>
      <c r="BH158" s="749">
        <f>AVERAGE(BG156,BH156)</f>
        <v>92480.50</v>
      </c>
      <c r="BI158" s="199">
        <f>AVERAGE(BH156,BI156)</f>
        <v>93018.100000000006</v>
      </c>
      <c r="BJ158" s="1009">
        <f>SUM(BF158*BF3,BG158*BG3,BH158*BH3,BI158*BI3)/BJ3</f>
        <v>90839.518306010941</v>
      </c>
      <c r="BK158" s="199">
        <f>AVERAGE(BK156,BJ156)</f>
        <v>87405.174999999988</v>
      </c>
      <c r="BL158" s="199">
        <f>AVERAGE(BK156,BL156)</f>
        <v>87762.684999999998</v>
      </c>
      <c r="BM158" s="199">
        <f>AVERAGE(BL156,BM156)</f>
        <v>94330.110000000001</v>
      </c>
      <c r="BN158" s="199">
        <f>AVERAGE(BM156,BN156)</f>
        <v>94878.462</v>
      </c>
      <c r="BO158" s="1009">
        <f>SUM(BK158*BK3,BL158*BL3,BM158*BM3,BN158*BN3)/BO3</f>
        <v>91123.44851780821</v>
      </c>
      <c r="BP158" s="1009">
        <f>AVERAGE(BO156,BP156)</f>
        <v>92859.913620000007</v>
      </c>
      <c r="BQ158" s="1009">
        <f>AVERAGE(BP156,BQ156)</f>
        <v>93788.512756199998</v>
      </c>
      <c r="BR158" s="1009">
        <f>AVERAGE(BQ156,BR156)</f>
        <v>94726.397883761994</v>
      </c>
      <c r="BS158" s="423"/>
    </row>
    <row r="159" spans="1:71" s="27" customFormat="1" ht="15" hidden="1" outlineLevel="1">
      <c r="A159" s="442"/>
      <c r="B159" s="434"/>
      <c r="C159" s="982"/>
      <c r="D159" s="982"/>
      <c r="E159" s="982"/>
      <c r="F159" s="982"/>
      <c r="G159" s="982"/>
      <c r="H159" s="435"/>
      <c r="I159" s="435"/>
      <c r="J159" s="435"/>
      <c r="K159" s="435"/>
      <c r="L159" s="982"/>
      <c r="M159" s="435"/>
      <c r="N159" s="435"/>
      <c r="O159" s="435"/>
      <c r="P159" s="435"/>
      <c r="Q159" s="982"/>
      <c r="R159" s="435"/>
      <c r="S159" s="435"/>
      <c r="T159" s="435"/>
      <c r="U159" s="435"/>
      <c r="V159" s="982"/>
      <c r="W159" s="435"/>
      <c r="X159" s="435"/>
      <c r="Y159" s="435"/>
      <c r="Z159" s="435"/>
      <c r="AA159" s="982"/>
      <c r="AB159" s="435"/>
      <c r="AC159" s="435"/>
      <c r="AD159" s="435"/>
      <c r="AE159" s="435"/>
      <c r="AF159" s="982"/>
      <c r="AG159" s="435"/>
      <c r="AH159" s="435"/>
      <c r="AI159" s="435"/>
      <c r="AJ159" s="435"/>
      <c r="AK159" s="982"/>
      <c r="AL159" s="435"/>
      <c r="AM159" s="435"/>
      <c r="AN159" s="435"/>
      <c r="AO159" s="435"/>
      <c r="AP159" s="982"/>
      <c r="AQ159" s="435"/>
      <c r="AR159" s="435"/>
      <c r="AS159" s="435"/>
      <c r="AT159" s="435"/>
      <c r="AU159" s="982"/>
      <c r="AV159" s="435"/>
      <c r="AW159" s="435"/>
      <c r="AX159" s="435"/>
      <c r="AY159" s="435"/>
      <c r="AZ159" s="982"/>
      <c r="BA159" s="435"/>
      <c r="BB159" s="435"/>
      <c r="BC159" s="435"/>
      <c r="BD159" s="435"/>
      <c r="BE159" s="982"/>
      <c r="BF159" s="435"/>
      <c r="BG159" s="435"/>
      <c r="BH159" s="751"/>
      <c r="BI159" s="435"/>
      <c r="BJ159" s="982"/>
      <c r="BK159" s="435"/>
      <c r="BL159" s="435"/>
      <c r="BM159" s="435"/>
      <c r="BN159" s="435"/>
      <c r="BO159" s="982"/>
      <c r="BP159" s="982"/>
      <c r="BQ159" s="982"/>
      <c r="BR159" s="982"/>
      <c r="BS159" s="71"/>
    </row>
    <row r="160" spans="1:71" s="28" customFormat="1" ht="15" hidden="1" outlineLevel="1">
      <c r="A160" s="40" t="s">
        <v>100</v>
      </c>
      <c r="B160" s="467"/>
      <c r="C160" s="1028"/>
      <c r="D160" s="1029">
        <f>ROUND(INDEX(MO_II_NetII,0,COLUMN())/INDEX(MO_II_InvestmentBalance,0,COLUMN()),6)*(D$3/D$3)</f>
        <v>0.041424999999999997</v>
      </c>
      <c r="E160" s="1029">
        <f>ROUND(INDEX(MO_II_NetII,0,COLUMN())/INDEX(MO_II_InvestmentBalance,0,COLUMN()),6)*(E$3/E$3)</f>
        <v>0.039594999999999998</v>
      </c>
      <c r="F160" s="1029">
        <f>ROUND(INDEX(MO_II_NetII,0,COLUMN())/INDEX(MO_II_InvestmentBalance,0,COLUMN()),6)*(F$3/F$3)</f>
        <v>0.03943</v>
      </c>
      <c r="G160" s="1029">
        <f>ROUND(INDEX(MO_II_NetII,0,COLUMN())/INDEX(MO_II_InvestmentBalance,0,COLUMN()),6)*(G$3/G$3)</f>
        <v>0.036953</v>
      </c>
      <c r="H160" s="121">
        <f>ROUND(INDEX(MO_II_NetII,0,COLUMN())/INDEX(MO_II_InvestmentBalance,0,COLUMN()),6)*(L$3/H$3)</f>
        <v>0.040644777777777773</v>
      </c>
      <c r="I160" s="121">
        <f>ROUND(INDEX(MO_II_NetII,0,COLUMN())/INDEX(MO_II_InvestmentBalance,0,COLUMN()),6)*(L$3/I$3)</f>
        <v>0.037759450549450554</v>
      </c>
      <c r="J160" s="121">
        <f>ROUND(INDEX(MO_II_NetII,0,COLUMN())/INDEX(MO_II_InvestmentBalance,0,COLUMN()),6)*(L$3/J$3)</f>
        <v>0.038515434782608694</v>
      </c>
      <c r="K160" s="121">
        <f>ROUND(INDEX(MO_II_NetII,0,COLUMN())/INDEX(MO_II_InvestmentBalance,0,COLUMN()),6)*(L$3/K$3)</f>
        <v>0.034278260869565216</v>
      </c>
      <c r="L160" s="1029">
        <f>ROUND(INDEX(MO_II_NetII,0,COLUMN())/INDEX(MO_II_InvestmentBalance,0,COLUMN()),6)*(L$3/L$3)</f>
        <v>0.037781000000000002</v>
      </c>
      <c r="M160" s="121">
        <f>ROUND(INDEX(MO_II_NetII,0,COLUMN())/INDEX(MO_II_InvestmentBalance,0,COLUMN()),6)*(Q$3/M$3)</f>
        <v>0.032914888888888889</v>
      </c>
      <c r="N160" s="121">
        <f>ROUND(INDEX(MO_II_NetII,0,COLUMN())/INDEX(MO_II_InvestmentBalance,0,COLUMN()),6)*(Q$3/N$3)</f>
        <v>0.035244560439560438</v>
      </c>
      <c r="O160" s="121">
        <f>ROUND(INDEX(MO_II_NetII,0,COLUMN())/INDEX(MO_II_InvestmentBalance,0,COLUMN()),6)*(Q$3/O$3)</f>
        <v>0.03400054347826087</v>
      </c>
      <c r="P160" s="121">
        <f>ROUND(INDEX(MO_II_NetII,0,COLUMN())/INDEX(MO_II_InvestmentBalance,0,COLUMN()),6)*(Q$3/P$3)</f>
        <v>0.030116467391304347</v>
      </c>
      <c r="Q160" s="1029">
        <f>ROUND(INDEX(MO_II_NetII,0,COLUMN())/INDEX(MO_II_InvestmentBalance,0,COLUMN()),6)*(Q$3/Q$3)</f>
        <v>0.033070000000000002</v>
      </c>
      <c r="R160" s="121">
        <f>ROUND(INDEX(MO_II_NetII,0,COLUMN())/INDEX(MO_II_InvestmentBalance,0,COLUMN()),6)*(V$3/R$3)</f>
        <v>0.030784219780219779</v>
      </c>
      <c r="S160" s="121">
        <f>ROUND(INDEX(MO_II_NetII,0,COLUMN())/INDEX(MO_II_InvestmentBalance,0,COLUMN()),6)*(V$3/S$3)</f>
        <v>0.030635406593406592</v>
      </c>
      <c r="T160" s="121">
        <f>ROUND(INDEX(MO_II_NetII,0,COLUMN())/INDEX(MO_II_InvestmentBalance,0,COLUMN()),6)*(V$3/T$3)</f>
        <v>0.031842000000000002</v>
      </c>
      <c r="U160" s="121">
        <f>ROUND(INDEX(MO_II_NetII,0,COLUMN())/INDEX(MO_II_InvestmentBalance,0,COLUMN()),6)*(V$3/U$3)</f>
        <v>0.03477795652173913</v>
      </c>
      <c r="V160" s="1029">
        <f>ROUND(INDEX(MO_II_NetII,0,COLUMN())/INDEX(MO_II_InvestmentBalance,0,COLUMN()),6)*(V$3/V$3)</f>
        <v>0.032016999999999997</v>
      </c>
      <c r="W160" s="121">
        <f>ROUND(INDEX(MO_II_NetII,0,COLUMN())/INDEX(MO_II_InvestmentBalance,0,COLUMN()),6)*(AA$3/W$3)</f>
        <v>0.034906166666666669</v>
      </c>
      <c r="X160" s="121">
        <f>ROUND(INDEX(MO_II_NetII,0,COLUMN())/INDEX(MO_II_InvestmentBalance,0,COLUMN()),6)*(AA$3/X$3)</f>
        <v>0.033407527472527468</v>
      </c>
      <c r="Y160" s="121">
        <f>ROUND(INDEX(MO_II_NetII,0,COLUMN())/INDEX(MO_II_InvestmentBalance,0,COLUMN()),6)*(AA$3/Y$3)</f>
        <v>0.032084293478260875</v>
      </c>
      <c r="Z160" s="121">
        <f>ROUND(INDEX(MO_II_NetII,0,COLUMN())/INDEX(MO_II_InvestmentBalance,0,COLUMN()),6)*(AA$3/Z$3)</f>
        <v>0.032754782608695653</v>
      </c>
      <c r="AA160" s="1029">
        <f>ROUND(INDEX(MO_II_NetII,0,COLUMN())/INDEX(MO_II_InvestmentBalance,0,COLUMN()),6)*(AA$3/AA$3)</f>
        <v>0.033267999999999999</v>
      </c>
      <c r="AB160" s="121">
        <f>ROUND(INDEX(MO_II_NetII,0,COLUMN())/INDEX(MO_II_InvestmentBalance,0,COLUMN()),6)*(AF$3/AB$3)</f>
        <v>0.03391255555555555</v>
      </c>
      <c r="AC160" s="121">
        <f>ROUND(INDEX(MO_II_NetII,0,COLUMN())/INDEX(MO_II_InvestmentBalance,0,COLUMN()),6)*(AF$3/AC$3)</f>
        <v>0.033403516483516485</v>
      </c>
      <c r="AD160" s="121">
        <f>ROUND(INDEX(MO_II_NetII,0,COLUMN())/INDEX(MO_II_InvestmentBalance,0,COLUMN()),6)*(AF$3/AD$3)</f>
        <v>0.035841413043478265</v>
      </c>
      <c r="AE160" s="121">
        <f>ROUND(INDEX(MO_II_NetII,0,COLUMN())/INDEX(MO_II_InvestmentBalance,0,COLUMN()),6)*(AF$3/AE$3)</f>
        <v>0.034682934782608699</v>
      </c>
      <c r="AF160" s="1029">
        <f>ROUND(INDEX(MO_II_NetII,0,COLUMN())/INDEX(MO_II_InvestmentBalance,0,COLUMN()),6)*(AF$3/AF$3)</f>
        <v>0.034465999999999997</v>
      </c>
      <c r="AG160" s="121">
        <f>ROUND(INDEX(MO_II_NetII,0,COLUMN())/INDEX(MO_II_InvestmentBalance,0,COLUMN()),6)*(AK$3/AG$3)</f>
        <v>0.032156499999999998</v>
      </c>
      <c r="AH160" s="121">
        <f>ROUND(INDEX(MO_II_NetII,0,COLUMN())/INDEX(MO_II_InvestmentBalance,0,COLUMN()),6)*(AK$3/AH$3)</f>
        <v>0.034650934065934072</v>
      </c>
      <c r="AI160" s="121">
        <f>ROUND(INDEX(MO_II_NetII,0,COLUMN())/INDEX(MO_II_InvestmentBalance,0,COLUMN()),6)*(AK$3/AI$3)</f>
        <v>0.032274728260869565</v>
      </c>
      <c r="AJ160" s="121">
        <f>ROUND(INDEX(MO_II_NetII,0,COLUMN())/INDEX(MO_II_InvestmentBalance,0,COLUMN()),6)*(AK$3/AJ$3)</f>
        <v>0.031473315217391308</v>
      </c>
      <c r="AK160" s="1029">
        <f>ROUND(INDEX(MO_II_NetII,0,COLUMN())/INDEX(MO_II_InvestmentBalance,0,COLUMN()),6)*(AK$3/AK$3)</f>
        <v>0.032627000000000003</v>
      </c>
      <c r="AL160" s="121">
        <f>ROUND(INDEX(MO_II_NetII,0,COLUMN())/INDEX(MO_II_InvestmentBalance,0,COLUMN()),6)*(AP$3/AL$3)</f>
        <v>0.031805802197802199</v>
      </c>
      <c r="AM160" s="121">
        <f>ROUND(INDEX(MO_II_NetII,0,COLUMN())/INDEX(MO_II_InvestmentBalance,0,COLUMN()),6)*(AP$3/AM$3)</f>
        <v>0.013710923076923077</v>
      </c>
      <c r="AN160" s="121">
        <f>ROUND(INDEX(MO_II_NetII,0,COLUMN())/INDEX(MO_II_InvestmentBalance,0,COLUMN()),6)*(AP$3/AN$3)</f>
        <v>0.032522282608695649</v>
      </c>
      <c r="AO160" s="121">
        <f>ROUND(INDEX(MO_II_NetII,0,COLUMN())/INDEX(MO_II_InvestmentBalance,0,COLUMN()),6)*(AP$3/AO$3)</f>
        <v>0.032064782608695649</v>
      </c>
      <c r="AP160" s="1029">
        <f>ROUND(INDEX(MO_II_NetII,0,COLUMN())/INDEX(MO_II_InvestmentBalance,0,COLUMN()),6)*(AP$3/AP$3)</f>
        <v>0.027663</v>
      </c>
      <c r="AQ160" s="121">
        <f>ROUND(INDEX(MO_II_NetII,0,COLUMN())/INDEX(MO_II_InvestmentBalance,0,COLUMN()),6)*(AU$3/AQ$3)</f>
        <v>0.03378277777777778</v>
      </c>
      <c r="AR160" s="121">
        <f>ROUND(INDEX(MO_II_NetII,0,COLUMN())/INDEX(MO_II_InvestmentBalance,0,COLUMN()),6)*(AU$3/AR$3)</f>
        <v>0.038501483516483519</v>
      </c>
      <c r="AS160" s="121">
        <f>ROUND(INDEX(MO_II_NetII,0,COLUMN())/INDEX(MO_II_InvestmentBalance,0,COLUMN()),6)*(AU$3/AS$3)</f>
        <v>0.035147119565217391</v>
      </c>
      <c r="AT160" s="121">
        <f>ROUND(INDEX(MO_II_NetII,0,COLUMN())/INDEX(MO_II_InvestmentBalance,0,COLUMN()),6)*(AU$3/AT$3)</f>
        <v>0.033710923913043478</v>
      </c>
      <c r="AU160" s="1029">
        <f>ROUND(INDEX(MO_II_NetII,0,COLUMN())/INDEX(MO_II_InvestmentBalance,0,COLUMN()),6)*(AU$3/AU$3)</f>
        <v>0.035278999999999998</v>
      </c>
      <c r="AV160" s="121">
        <f>ROUND(INDEX(MO_II_NetII,0,COLUMN())/INDEX(MO_II_InvestmentBalance,0,COLUMN()),6)*(AZ$3/AV$3)</f>
        <v>0.030209833333333332</v>
      </c>
      <c r="AW160" s="121">
        <f>ROUND(INDEX(MO_II_NetII,0,COLUMN())/INDEX(MO_II_InvestmentBalance,0,COLUMN()),6)*(AZ$3/AW$3)</f>
        <v>0.034554670329670328</v>
      </c>
      <c r="AX160" s="121">
        <f>ROUND(INDEX(MO_II_NetII,0,COLUMN())/INDEX(MO_II_InvestmentBalance,0,COLUMN()),6)*(AZ$3/AX$3)</f>
        <v>0.029672119565217394</v>
      </c>
      <c r="AY160" s="121">
        <f>ROUND(INDEX(MO_II_NetII,0,COLUMN())/INDEX(MO_II_InvestmentBalance,0,COLUMN()),6)*(AZ$3/AY$3)</f>
        <v>0.031274945652173911</v>
      </c>
      <c r="AZ160" s="1029">
        <f>ROUND(INDEX(MO_II_NetII,0,COLUMN())/INDEX(MO_II_InvestmentBalance,0,COLUMN()),6)*(AZ$3/AZ$3)</f>
        <v>0.03143</v>
      </c>
      <c r="BA160" s="121">
        <f>ROUND(INDEX(MO_II_NetII,0,COLUMN())/INDEX(MO_II_InvestmentBalance,0,COLUMN()),6)*(BE$3/BA$3)</f>
        <v>0.033097388888888885</v>
      </c>
      <c r="BB160" s="121">
        <f>ROUND(INDEX(MO_II_NetII,0,COLUMN())/INDEX(MO_II_InvestmentBalance,0,COLUMN()),6)*(BE$3/BB$3)</f>
        <v>0.03461483516483517</v>
      </c>
      <c r="BC160" s="121">
        <f>ROUND(INDEX(MO_II_NetII,0,COLUMN())/INDEX(MO_II_InvestmentBalance,0,COLUMN()),6)*(BE$3/BC$3)</f>
        <v>0.036773750000000001</v>
      </c>
      <c r="BD160" s="121">
        <f>ROUND(INDEX(MO_II_NetII,0,COLUMN())/INDEX(MO_II_InvestmentBalance,0,COLUMN()),6)*(BE$3/BD$3)</f>
        <v>0.035940597826086954</v>
      </c>
      <c r="BE160" s="1029">
        <f>ROUND(INDEX(MO_II_NetII,0,COLUMN())/INDEX(MO_II_InvestmentBalance,0,COLUMN()),6)*(BE$3/BE$3)</f>
        <v>0.035137000000000002</v>
      </c>
      <c r="BF160" s="121">
        <f>ROUND(INDEX(MO_II_NetII,0,COLUMN())/INDEX(MO_II_InvestmentBalance,0,COLUMN()),6)*(BJ$3/BF$3)</f>
        <v>0.038345538461538466</v>
      </c>
      <c r="BG160" s="121">
        <f>ROUND(INDEX(MO_II_NetII,0,COLUMN())/INDEX(MO_II_InvestmentBalance,0,COLUMN()),6)*(BJ$3/BG$3)</f>
        <v>0.03995432967032967</v>
      </c>
      <c r="BH160" s="762">
        <f>ROUND(INDEX(MO_II_NetII,0,COLUMN())/INDEX(MO_II_InvestmentBalance,0,COLUMN()),6)*(BJ$3/BH$3)</f>
        <v>0.038887499999999998</v>
      </c>
      <c r="BI160" s="919">
        <v>0.036999999999999998</v>
      </c>
      <c r="BJ160" s="1028">
        <f>ROUND(INDEX(MO_II_NetII,0,COLUMN())/INDEX(MO_II_InvestmentBalance,0,COLUMN()),6)*(BJ$3/BJ$3)</f>
        <v>0.038531000000000003</v>
      </c>
      <c r="BK160" s="919">
        <v>0.035000000000000003</v>
      </c>
      <c r="BL160" s="919">
        <v>0.029000000000000001</v>
      </c>
      <c r="BM160" s="919">
        <v>0.03</v>
      </c>
      <c r="BN160" s="919">
        <v>0.036999999999999998</v>
      </c>
      <c r="BO160" s="1028">
        <f>ROUND(INDEX(MO_II_NetII,0,COLUMN())/INDEX(MO_II_InvestmentBalance,0,COLUMN()),6)*(BO$3/BO$3)</f>
        <v>0.032779999999999997</v>
      </c>
      <c r="BP160" s="1030">
        <v>0.04</v>
      </c>
      <c r="BQ160" s="1030">
        <v>0.04</v>
      </c>
      <c r="BR160" s="1030">
        <v>0.04</v>
      </c>
      <c r="BS160" s="43"/>
    </row>
    <row r="161" spans="1:71" s="24" customFormat="1" ht="15" hidden="1" outlineLevel="1">
      <c r="A161" s="449"/>
      <c r="B161" s="445"/>
      <c r="C161" s="1011"/>
      <c r="D161" s="1011"/>
      <c r="E161" s="1011"/>
      <c r="F161" s="1011"/>
      <c r="G161" s="1011"/>
      <c r="H161" s="857"/>
      <c r="I161" s="857"/>
      <c r="J161" s="857"/>
      <c r="K161" s="857"/>
      <c r="L161" s="1011"/>
      <c r="M161" s="857"/>
      <c r="N161" s="857"/>
      <c r="O161" s="857"/>
      <c r="P161" s="857"/>
      <c r="Q161" s="1011"/>
      <c r="R161" s="857"/>
      <c r="S161" s="857"/>
      <c r="T161" s="857"/>
      <c r="U161" s="857"/>
      <c r="V161" s="1011"/>
      <c r="W161" s="857"/>
      <c r="X161" s="857"/>
      <c r="Y161" s="857"/>
      <c r="Z161" s="857"/>
      <c r="AA161" s="1011"/>
      <c r="AB161" s="857"/>
      <c r="AC161" s="857"/>
      <c r="AD161" s="857"/>
      <c r="AE161" s="857"/>
      <c r="AF161" s="1011"/>
      <c r="AG161" s="857"/>
      <c r="AH161" s="857"/>
      <c r="AI161" s="857"/>
      <c r="AJ161" s="857"/>
      <c r="AK161" s="1011"/>
      <c r="AL161" s="857"/>
      <c r="AM161" s="857"/>
      <c r="AN161" s="857"/>
      <c r="AO161" s="857"/>
      <c r="AP161" s="1011"/>
      <c r="AQ161" s="857"/>
      <c r="AR161" s="857"/>
      <c r="AS161" s="857"/>
      <c r="AT161" s="857"/>
      <c r="AU161" s="1011"/>
      <c r="AV161" s="857"/>
      <c r="AW161" s="857"/>
      <c r="AX161" s="857"/>
      <c r="AY161" s="857"/>
      <c r="AZ161" s="1011"/>
      <c r="BA161" s="857"/>
      <c r="BB161" s="857"/>
      <c r="BC161" s="857"/>
      <c r="BD161" s="857"/>
      <c r="BE161" s="1011"/>
      <c r="BF161" s="857"/>
      <c r="BG161" s="857"/>
      <c r="BH161" s="858"/>
      <c r="BI161" s="857"/>
      <c r="BJ161" s="1011"/>
      <c r="BK161" s="857"/>
      <c r="BL161" s="857"/>
      <c r="BM161" s="857"/>
      <c r="BN161" s="857"/>
      <c r="BO161" s="1011"/>
      <c r="BP161" s="1011"/>
      <c r="BQ161" s="1011"/>
      <c r="BR161" s="1011"/>
      <c r="BS161" s="833"/>
    </row>
    <row r="162" spans="1:71" s="181" customFormat="1" ht="15" hidden="1" outlineLevel="1">
      <c r="A162" s="183" t="s">
        <v>101</v>
      </c>
      <c r="B162" s="451"/>
      <c r="C162" s="1008">
        <f t="shared" si="478" ref="C162:AM162">C390</f>
        <v>2776</v>
      </c>
      <c r="D162" s="1008">
        <f t="shared" si="478"/>
        <v>3059</v>
      </c>
      <c r="E162" s="1008">
        <f t="shared" si="478"/>
        <v>2879</v>
      </c>
      <c r="F162" s="1008">
        <f t="shared" si="478"/>
        <v>2889</v>
      </c>
      <c r="G162" s="1008">
        <f t="shared" si="478"/>
        <v>2716</v>
      </c>
      <c r="H162" s="185">
        <f t="shared" si="478"/>
        <v>736</v>
      </c>
      <c r="I162" s="185">
        <f t="shared" si="478"/>
        <v>695</v>
      </c>
      <c r="J162" s="185">
        <f t="shared" si="478"/>
        <v>719</v>
      </c>
      <c r="K162" s="185">
        <f t="shared" si="478"/>
        <v>637</v>
      </c>
      <c r="L162" s="1008">
        <f t="shared" si="478"/>
        <v>2787</v>
      </c>
      <c r="M162" s="185">
        <f t="shared" si="478"/>
        <v>592</v>
      </c>
      <c r="N162" s="185">
        <f t="shared" si="478"/>
        <v>632</v>
      </c>
      <c r="O162" s="185">
        <f t="shared" si="478"/>
        <v>614</v>
      </c>
      <c r="P162" s="185">
        <f t="shared" si="478"/>
        <v>541</v>
      </c>
      <c r="Q162" s="1008">
        <f t="shared" si="478"/>
        <v>2379</v>
      </c>
      <c r="R162" s="185">
        <f t="shared" si="478"/>
        <v>544</v>
      </c>
      <c r="S162" s="185">
        <f t="shared" si="478"/>
        <v>549</v>
      </c>
      <c r="T162" s="185">
        <f t="shared" si="478"/>
        <v>582</v>
      </c>
      <c r="U162" s="185">
        <f t="shared" si="478"/>
        <v>627</v>
      </c>
      <c r="V162" s="1008">
        <f t="shared" si="478"/>
        <v>2302</v>
      </c>
      <c r="W162" s="185">
        <f t="shared" si="478"/>
        <v>610</v>
      </c>
      <c r="X162" s="185">
        <f t="shared" si="478"/>
        <v>598</v>
      </c>
      <c r="Y162" s="185">
        <f t="shared" si="478"/>
        <v>588</v>
      </c>
      <c r="Z162" s="185">
        <f t="shared" si="478"/>
        <v>601</v>
      </c>
      <c r="AA162" s="1008">
        <f t="shared" si="478"/>
        <v>2397</v>
      </c>
      <c r="AB162" s="185">
        <f t="shared" si="478"/>
        <v>603</v>
      </c>
      <c r="AC162" s="185">
        <f t="shared" si="478"/>
        <v>595</v>
      </c>
      <c r="AD162" s="185">
        <f t="shared" si="478"/>
        <v>646</v>
      </c>
      <c r="AE162" s="185">
        <f t="shared" si="478"/>
        <v>630</v>
      </c>
      <c r="AF162" s="1008">
        <f t="shared" si="478"/>
        <v>2474</v>
      </c>
      <c r="AG162" s="185">
        <f t="shared" si="478"/>
        <v>582</v>
      </c>
      <c r="AH162" s="185">
        <f t="shared" si="478"/>
        <v>648</v>
      </c>
      <c r="AI162" s="185">
        <f t="shared" si="478"/>
        <v>622</v>
      </c>
      <c r="AJ162" s="185">
        <f t="shared" si="478"/>
        <v>616</v>
      </c>
      <c r="AK162" s="1008">
        <f t="shared" si="478"/>
        <v>2468</v>
      </c>
      <c r="AL162" s="185">
        <f t="shared" si="478"/>
        <v>611</v>
      </c>
      <c r="AM162" s="185">
        <f t="shared" si="478"/>
        <v>268</v>
      </c>
      <c r="AN162" s="185">
        <f>AN390</f>
        <v>671</v>
      </c>
      <c r="AO162" s="185">
        <f t="shared" si="479" ref="AO162:AQ162">AO390</f>
        <v>677</v>
      </c>
      <c r="AP162" s="1008">
        <f t="shared" si="479"/>
        <v>2227</v>
      </c>
      <c r="AQ162" s="185">
        <f t="shared" si="479"/>
        <v>701</v>
      </c>
      <c r="AR162" s="185">
        <f t="shared" si="480" ref="AR162:AW162">AR390</f>
        <v>818</v>
      </c>
      <c r="AS162" s="185">
        <f t="shared" si="480"/>
        <v>771</v>
      </c>
      <c r="AT162" s="185">
        <f t="shared" si="480"/>
        <v>743</v>
      </c>
      <c r="AU162" s="1008">
        <f t="shared" si="480"/>
        <v>3033</v>
      </c>
      <c r="AV162" s="185">
        <f t="shared" si="480"/>
        <v>637</v>
      </c>
      <c r="AW162" s="185">
        <f t="shared" si="480"/>
        <v>707</v>
      </c>
      <c r="AX162" s="185">
        <f t="shared" si="481" ref="AX162:BC162">AX390</f>
        <v>593</v>
      </c>
      <c r="AY162" s="185">
        <f t="shared" si="481"/>
        <v>625</v>
      </c>
      <c r="AZ162" s="1008">
        <f t="shared" si="481"/>
        <v>2562</v>
      </c>
      <c r="BA162" s="185">
        <f t="shared" si="481"/>
        <v>663</v>
      </c>
      <c r="BB162" s="185">
        <f t="shared" si="481"/>
        <v>712</v>
      </c>
      <c r="BC162" s="185">
        <f t="shared" si="481"/>
        <v>769</v>
      </c>
      <c r="BD162" s="185">
        <f>BD390</f>
        <v>778</v>
      </c>
      <c r="BE162" s="1008">
        <f>BE390</f>
        <v>2922</v>
      </c>
      <c r="BF162" s="185">
        <f>BF390</f>
        <v>846</v>
      </c>
      <c r="BG162" s="185">
        <f>BG390</f>
        <v>885</v>
      </c>
      <c r="BH162" s="749">
        <f>BH390</f>
        <v>904</v>
      </c>
      <c r="BI162" s="199">
        <f>BI158*BI160/(BJ3/BI3)</f>
        <v>865.11915956284156</v>
      </c>
      <c r="BJ162" s="1009">
        <f>SUM(BF162,BG162,BH162,BI162)</f>
        <v>3500.1191595628416</v>
      </c>
      <c r="BK162" s="199">
        <f>BK158*BK160/(BO3/BK3)</f>
        <v>754.31863356164388</v>
      </c>
      <c r="BL162" s="199">
        <f>BL158*BL160/(BO3/BL3)</f>
        <v>634.53623483561648</v>
      </c>
      <c r="BM162" s="199">
        <f>BM158*BM160/(BO3/BM3)</f>
        <v>713.2906947945205</v>
      </c>
      <c r="BN162" s="199">
        <f>BN158*BN160/(BO3/BN3)</f>
        <v>884.83913602191774</v>
      </c>
      <c r="BO162" s="1009">
        <f>SUM(BK162,BL162,BM162,BN162)</f>
        <v>2986.9846992136981</v>
      </c>
      <c r="BP162" s="1009">
        <f>BP158*BP160</f>
        <v>3714.3965448000004</v>
      </c>
      <c r="BQ162" s="1009">
        <f>BQ158*BQ160</f>
        <v>3751.5405102479999</v>
      </c>
      <c r="BR162" s="1009">
        <f>BR158*BR160</f>
        <v>3789.0559153504801</v>
      </c>
      <c r="BS162" s="423"/>
    </row>
    <row r="163" spans="1:71" s="24" customFormat="1" ht="15" hidden="1" outlineLevel="1">
      <c r="A163" s="449"/>
      <c r="B163" s="445"/>
      <c r="C163" s="994"/>
      <c r="D163" s="994"/>
      <c r="E163" s="994"/>
      <c r="F163" s="994"/>
      <c r="G163" s="994"/>
      <c r="H163" s="210"/>
      <c r="I163" s="210"/>
      <c r="J163" s="210"/>
      <c r="K163" s="210"/>
      <c r="L163" s="994"/>
      <c r="M163" s="210"/>
      <c r="N163" s="210"/>
      <c r="O163" s="210"/>
      <c r="P163" s="210"/>
      <c r="Q163" s="994"/>
      <c r="R163" s="210"/>
      <c r="S163" s="210"/>
      <c r="T163" s="210"/>
      <c r="U163" s="210"/>
      <c r="V163" s="994"/>
      <c r="W163" s="210"/>
      <c r="X163" s="210"/>
      <c r="Y163" s="210"/>
      <c r="Z163" s="210"/>
      <c r="AA163" s="994"/>
      <c r="AB163" s="210"/>
      <c r="AC163" s="210"/>
      <c r="AD163" s="210"/>
      <c r="AE163" s="210"/>
      <c r="AF163" s="994"/>
      <c r="AG163" s="210"/>
      <c r="AH163" s="210"/>
      <c r="AI163" s="210"/>
      <c r="AJ163" s="210"/>
      <c r="AK163" s="994"/>
      <c r="AL163" s="210"/>
      <c r="AM163" s="210"/>
      <c r="AN163" s="210"/>
      <c r="AO163" s="210"/>
      <c r="AP163" s="994"/>
      <c r="AQ163" s="210"/>
      <c r="AR163" s="210"/>
      <c r="AS163" s="210"/>
      <c r="AT163" s="210"/>
      <c r="AU163" s="994"/>
      <c r="AV163" s="210"/>
      <c r="AW163" s="210"/>
      <c r="AX163" s="210"/>
      <c r="AY163" s="210"/>
      <c r="AZ163" s="994"/>
      <c r="BA163" s="210"/>
      <c r="BB163" s="210"/>
      <c r="BC163" s="210"/>
      <c r="BD163" s="210"/>
      <c r="BE163" s="994"/>
      <c r="BF163" s="210"/>
      <c r="BG163" s="210"/>
      <c r="BH163" s="553"/>
      <c r="BI163" s="210"/>
      <c r="BJ163" s="994"/>
      <c r="BK163" s="210"/>
      <c r="BL163" s="210"/>
      <c r="BM163" s="210"/>
      <c r="BN163" s="210"/>
      <c r="BO163" s="994"/>
      <c r="BP163" s="994"/>
      <c r="BQ163" s="994"/>
      <c r="BR163" s="994"/>
      <c r="BS163" s="833"/>
    </row>
    <row r="164" spans="1:71" s="181" customFormat="1" ht="15" hidden="1" outlineLevel="1">
      <c r="A164" s="183" t="s">
        <v>102</v>
      </c>
      <c r="B164" s="451"/>
      <c r="C164" s="1008">
        <f t="shared" si="482" ref="C164:AM164">C391</f>
        <v>17</v>
      </c>
      <c r="D164" s="1008">
        <f t="shared" si="482"/>
        <v>264</v>
      </c>
      <c r="E164" s="1008">
        <f t="shared" si="482"/>
        <v>55</v>
      </c>
      <c r="F164" s="1008">
        <f t="shared" si="482"/>
        <v>51</v>
      </c>
      <c r="G164" s="1008">
        <f t="shared" si="482"/>
        <v>166</v>
      </c>
      <c r="H164" s="185">
        <f t="shared" si="482"/>
        <v>1</v>
      </c>
      <c r="I164" s="185">
        <f t="shared" si="482"/>
        <v>16</v>
      </c>
      <c r="J164" s="185">
        <f t="shared" si="482"/>
        <v>40</v>
      </c>
      <c r="K164" s="185">
        <f t="shared" si="482"/>
        <v>22</v>
      </c>
      <c r="L164" s="1008">
        <f t="shared" si="482"/>
        <v>79</v>
      </c>
      <c r="M164" s="185">
        <f t="shared" si="482"/>
        <v>10</v>
      </c>
      <c r="N164" s="185">
        <f t="shared" si="482"/>
        <v>10</v>
      </c>
      <c r="O164" s="185">
        <f t="shared" si="482"/>
        <v>15</v>
      </c>
      <c r="P164" s="185">
        <f t="shared" si="482"/>
        <v>-32</v>
      </c>
      <c r="Q164" s="1008">
        <f t="shared" si="482"/>
        <v>3</v>
      </c>
      <c r="R164" s="185">
        <f t="shared" si="482"/>
        <v>-9</v>
      </c>
      <c r="S164" s="185">
        <f t="shared" si="482"/>
        <v>19</v>
      </c>
      <c r="T164" s="185">
        <f t="shared" si="482"/>
        <v>23</v>
      </c>
      <c r="U164" s="185">
        <f t="shared" si="482"/>
        <v>35</v>
      </c>
      <c r="V164" s="1008">
        <f t="shared" si="482"/>
        <v>68</v>
      </c>
      <c r="W164" s="185">
        <f t="shared" si="482"/>
        <v>5</v>
      </c>
      <c r="X164" s="185">
        <f t="shared" si="482"/>
        <v>80</v>
      </c>
      <c r="Y164" s="185">
        <f t="shared" si="482"/>
        <v>61</v>
      </c>
      <c r="Z164" s="185">
        <f t="shared" si="482"/>
        <v>70</v>
      </c>
      <c r="AA164" s="1008">
        <f t="shared" si="482"/>
        <v>216</v>
      </c>
      <c r="AB164" s="185">
        <f t="shared" si="482"/>
        <v>-11</v>
      </c>
      <c r="AC164" s="185">
        <f t="shared" si="482"/>
        <v>36</v>
      </c>
      <c r="AD164" s="185">
        <f t="shared" si="482"/>
        <v>29</v>
      </c>
      <c r="AE164" s="185">
        <f t="shared" si="482"/>
        <v>60</v>
      </c>
      <c r="AF164" s="1008">
        <f t="shared" si="482"/>
        <v>114</v>
      </c>
      <c r="AG164" s="185">
        <f t="shared" si="482"/>
        <v>53</v>
      </c>
      <c r="AH164" s="185">
        <f t="shared" si="482"/>
        <v>25</v>
      </c>
      <c r="AI164" s="185">
        <f t="shared" si="482"/>
        <v>23</v>
      </c>
      <c r="AJ164" s="185">
        <f t="shared" si="482"/>
        <v>12</v>
      </c>
      <c r="AK164" s="1008">
        <f t="shared" si="482"/>
        <v>113</v>
      </c>
      <c r="AL164" s="185">
        <f t="shared" si="482"/>
        <v>-98</v>
      </c>
      <c r="AM164" s="185">
        <f t="shared" si="482"/>
        <v>13</v>
      </c>
      <c r="AN164" s="185">
        <f>AN391</f>
        <v>37</v>
      </c>
      <c r="AO164" s="185">
        <f t="shared" si="483" ref="AO164:AQ164">AO391</f>
        <v>50</v>
      </c>
      <c r="AP164" s="1008">
        <f t="shared" si="483"/>
        <v>2</v>
      </c>
      <c r="AQ164" s="185">
        <f t="shared" si="483"/>
        <v>44</v>
      </c>
      <c r="AR164" s="185">
        <f t="shared" si="484" ref="AR164:AW164">AR391</f>
        <v>61</v>
      </c>
      <c r="AS164" s="185">
        <f t="shared" si="484"/>
        <v>8</v>
      </c>
      <c r="AT164" s="185">
        <f t="shared" si="484"/>
        <v>58</v>
      </c>
      <c r="AU164" s="1008">
        <f t="shared" si="484"/>
        <v>171</v>
      </c>
      <c r="AV164" s="185">
        <f t="shared" si="484"/>
        <v>-23</v>
      </c>
      <c r="AW164" s="185">
        <f t="shared" si="484"/>
        <v>-95</v>
      </c>
      <c r="AX164" s="185">
        <f t="shared" si="485" ref="AX164:BC164">AX391</f>
        <v>-93</v>
      </c>
      <c r="AY164" s="185">
        <f t="shared" si="485"/>
        <v>7</v>
      </c>
      <c r="AZ164" s="1008">
        <f t="shared" si="485"/>
        <v>-204</v>
      </c>
      <c r="BA164" s="185">
        <f t="shared" si="485"/>
        <v>6</v>
      </c>
      <c r="BB164" s="185">
        <f t="shared" si="485"/>
        <v>-35</v>
      </c>
      <c r="BC164" s="185">
        <f t="shared" si="485"/>
        <v>-65</v>
      </c>
      <c r="BD164" s="185">
        <f>BD391</f>
        <v>-11</v>
      </c>
      <c r="BE164" s="1008">
        <f>BE391</f>
        <v>-105</v>
      </c>
      <c r="BF164" s="185">
        <f>BF391</f>
        <v>35</v>
      </c>
      <c r="BG164" s="185">
        <f>BG391</f>
        <v>-65</v>
      </c>
      <c r="BH164" s="749">
        <f>BH391</f>
        <v>55</v>
      </c>
      <c r="BI164" s="921">
        <v>15</v>
      </c>
      <c r="BJ164" s="1009">
        <f>SUM(BF164,BG164,BH164,BI164)</f>
        <v>40</v>
      </c>
      <c r="BK164" s="921">
        <v>15</v>
      </c>
      <c r="BL164" s="921">
        <v>15</v>
      </c>
      <c r="BM164" s="921">
        <v>15</v>
      </c>
      <c r="BN164" s="921">
        <v>15</v>
      </c>
      <c r="BO164" s="1009">
        <f>SUM(BK164,BL164,BM164,BN164)</f>
        <v>60</v>
      </c>
      <c r="BP164" s="1031">
        <v>60</v>
      </c>
      <c r="BQ164" s="1031">
        <v>60</v>
      </c>
      <c r="BR164" s="1031">
        <v>60</v>
      </c>
      <c r="BS164" s="423"/>
    </row>
    <row r="165" spans="1:71" s="24" customFormat="1" ht="15" collapsed="1">
      <c r="A165" s="449"/>
      <c r="B165" s="445"/>
      <c r="C165" s="1011"/>
      <c r="D165" s="1011"/>
      <c r="E165" s="1011"/>
      <c r="F165" s="1011"/>
      <c r="G165" s="1011"/>
      <c r="H165" s="857"/>
      <c r="I165" s="857"/>
      <c r="J165" s="857"/>
      <c r="K165" s="857"/>
      <c r="L165" s="1011"/>
      <c r="M165" s="857"/>
      <c r="N165" s="857"/>
      <c r="O165" s="857"/>
      <c r="P165" s="857"/>
      <c r="Q165" s="1011"/>
      <c r="R165" s="857"/>
      <c r="S165" s="857"/>
      <c r="T165" s="857"/>
      <c r="U165" s="857"/>
      <c r="V165" s="1011"/>
      <c r="W165" s="857"/>
      <c r="X165" s="857"/>
      <c r="Y165" s="857"/>
      <c r="Z165" s="857"/>
      <c r="AA165" s="1011"/>
      <c r="AB165" s="857"/>
      <c r="AC165" s="857"/>
      <c r="AD165" s="857"/>
      <c r="AE165" s="857"/>
      <c r="AF165" s="1011"/>
      <c r="AG165" s="857"/>
      <c r="AH165" s="857"/>
      <c r="AI165" s="857"/>
      <c r="AJ165" s="857"/>
      <c r="AK165" s="1011"/>
      <c r="AL165" s="857"/>
      <c r="AM165" s="857"/>
      <c r="AN165" s="857"/>
      <c r="AO165" s="857"/>
      <c r="AP165" s="1011"/>
      <c r="AQ165" s="857"/>
      <c r="AR165" s="857"/>
      <c r="AS165" s="857"/>
      <c r="AT165" s="857"/>
      <c r="AU165" s="1011"/>
      <c r="AV165" s="857"/>
      <c r="AW165" s="857"/>
      <c r="AX165" s="857"/>
      <c r="AY165" s="857"/>
      <c r="AZ165" s="1011"/>
      <c r="BA165" s="857"/>
      <c r="BB165" s="857"/>
      <c r="BC165" s="857"/>
      <c r="BD165" s="857"/>
      <c r="BE165" s="1011"/>
      <c r="BF165" s="857"/>
      <c r="BG165" s="857"/>
      <c r="BH165" s="858"/>
      <c r="BI165" s="857"/>
      <c r="BJ165" s="1011"/>
      <c r="BK165" s="857"/>
      <c r="BL165" s="857"/>
      <c r="BM165" s="857"/>
      <c r="BN165" s="857"/>
      <c r="BO165" s="1011"/>
      <c r="BP165" s="1011"/>
      <c r="BQ165" s="1011"/>
      <c r="BR165" s="1011"/>
      <c r="BS165" s="833"/>
    </row>
    <row r="166" spans="1:71" s="181" customFormat="1" ht="15">
      <c r="A166" s="826" t="s">
        <v>137</v>
      </c>
      <c r="B166" s="826"/>
      <c r="C166" s="847"/>
      <c r="D166" s="847"/>
      <c r="E166" s="847"/>
      <c r="F166" s="847"/>
      <c r="G166" s="847"/>
      <c r="H166" s="847"/>
      <c r="I166" s="847"/>
      <c r="J166" s="847"/>
      <c r="K166" s="847"/>
      <c r="L166" s="847"/>
      <c r="M166" s="847"/>
      <c r="N166" s="847"/>
      <c r="O166" s="847"/>
      <c r="P166" s="847"/>
      <c r="Q166" s="847"/>
      <c r="R166" s="847"/>
      <c r="S166" s="847"/>
      <c r="T166" s="847"/>
      <c r="U166" s="847"/>
      <c r="V166" s="847"/>
      <c r="W166" s="847"/>
      <c r="X166" s="847"/>
      <c r="Y166" s="847"/>
      <c r="Z166" s="847"/>
      <c r="AA166" s="847"/>
      <c r="AB166" s="847"/>
      <c r="AC166" s="847"/>
      <c r="AD166" s="847"/>
      <c r="AE166" s="847"/>
      <c r="AF166" s="847"/>
      <c r="AG166" s="847"/>
      <c r="AH166" s="847"/>
      <c r="AI166" s="847"/>
      <c r="AJ166" s="847"/>
      <c r="AK166" s="847"/>
      <c r="AL166" s="847"/>
      <c r="AM166" s="847"/>
      <c r="AN166" s="847"/>
      <c r="AO166" s="847"/>
      <c r="AP166" s="847"/>
      <c r="AQ166" s="847"/>
      <c r="AR166" s="847"/>
      <c r="AS166" s="847"/>
      <c r="AT166" s="847"/>
      <c r="AU166" s="847"/>
      <c r="AV166" s="847"/>
      <c r="AW166" s="847"/>
      <c r="AX166" s="847"/>
      <c r="AY166" s="847"/>
      <c r="AZ166" s="847"/>
      <c r="BA166" s="847"/>
      <c r="BB166" s="847"/>
      <c r="BC166" s="847"/>
      <c r="BD166" s="847"/>
      <c r="BE166" s="847"/>
      <c r="BF166" s="847"/>
      <c r="BG166" s="847"/>
      <c r="BH166" s="848"/>
      <c r="BI166" s="847"/>
      <c r="BJ166" s="847"/>
      <c r="BK166" s="847"/>
      <c r="BL166" s="847"/>
      <c r="BM166" s="847"/>
      <c r="BN166" s="847"/>
      <c r="BO166" s="847"/>
      <c r="BP166" s="847"/>
      <c r="BQ166" s="847"/>
      <c r="BR166" s="847"/>
      <c r="BS166" s="423"/>
    </row>
    <row r="167" spans="1:71" s="261" customFormat="1" ht="15" hidden="1" outlineLevel="1">
      <c r="A167" s="471" t="s">
        <v>564</v>
      </c>
      <c r="B167" s="468"/>
      <c r="C167" s="994">
        <f t="shared" si="486" ref="C167:AQ167">C345</f>
        <v>306</v>
      </c>
      <c r="D167" s="994">
        <f t="shared" si="486"/>
        <v>287</v>
      </c>
      <c r="E167" s="994">
        <f t="shared" si="486"/>
        <v>296</v>
      </c>
      <c r="F167" s="994">
        <f t="shared" si="486"/>
        <v>323</v>
      </c>
      <c r="G167" s="994">
        <f t="shared" si="486"/>
        <v>395</v>
      </c>
      <c r="H167" s="210">
        <f t="shared" si="486"/>
        <v>107</v>
      </c>
      <c r="I167" s="210">
        <f t="shared" si="486"/>
        <v>112</v>
      </c>
      <c r="J167" s="210">
        <f t="shared" si="486"/>
        <v>110</v>
      </c>
      <c r="K167" s="210">
        <f t="shared" si="486"/>
        <v>109</v>
      </c>
      <c r="L167" s="994">
        <f t="shared" si="486"/>
        <v>438</v>
      </c>
      <c r="M167" s="210">
        <f t="shared" si="486"/>
        <v>114</v>
      </c>
      <c r="N167" s="210">
        <f t="shared" si="486"/>
        <v>115</v>
      </c>
      <c r="O167" s="210">
        <f t="shared" si="486"/>
        <v>116</v>
      </c>
      <c r="P167" s="210">
        <f t="shared" si="486"/>
        <v>115</v>
      </c>
      <c r="Q167" s="994">
        <f t="shared" si="486"/>
        <v>460</v>
      </c>
      <c r="R167" s="210">
        <f t="shared" si="486"/>
        <v>117</v>
      </c>
      <c r="S167" s="210">
        <f t="shared" si="486"/>
        <v>119</v>
      </c>
      <c r="T167" s="210">
        <f t="shared" si="486"/>
        <v>116</v>
      </c>
      <c r="U167" s="210">
        <f t="shared" si="486"/>
        <v>106</v>
      </c>
      <c r="V167" s="994">
        <f t="shared" si="486"/>
        <v>458</v>
      </c>
      <c r="W167" s="210">
        <f t="shared" si="486"/>
        <v>113</v>
      </c>
      <c r="X167" s="210">
        <f t="shared" si="486"/>
        <v>116</v>
      </c>
      <c r="Y167" s="210">
        <f t="shared" si="486"/>
        <v>113</v>
      </c>
      <c r="Z167" s="210">
        <f t="shared" si="486"/>
        <v>105</v>
      </c>
      <c r="AA167" s="994">
        <f t="shared" si="486"/>
        <v>447</v>
      </c>
      <c r="AB167" s="210">
        <f t="shared" si="486"/>
        <v>103</v>
      </c>
      <c r="AC167" s="210">
        <f t="shared" si="486"/>
        <v>112</v>
      </c>
      <c r="AD167" s="210">
        <f t="shared" si="486"/>
        <v>109</v>
      </c>
      <c r="AE167" s="210">
        <f t="shared" si="486"/>
        <v>108</v>
      </c>
      <c r="AF167" s="994">
        <f t="shared" si="486"/>
        <v>432</v>
      </c>
      <c r="AG167" s="210">
        <f t="shared" si="486"/>
        <v>109</v>
      </c>
      <c r="AH167" s="210">
        <f t="shared" si="486"/>
        <v>116</v>
      </c>
      <c r="AI167" s="210">
        <f t="shared" si="486"/>
        <v>121</v>
      </c>
      <c r="AJ167" s="210">
        <f t="shared" si="486"/>
        <v>113</v>
      </c>
      <c r="AK167" s="994">
        <f t="shared" si="486"/>
        <v>459</v>
      </c>
      <c r="AL167" s="210">
        <f t="shared" si="486"/>
        <v>108</v>
      </c>
      <c r="AM167" s="210">
        <f t="shared" si="486"/>
        <v>114</v>
      </c>
      <c r="AN167" s="210">
        <f t="shared" si="486"/>
        <v>101</v>
      </c>
      <c r="AO167" s="210">
        <f t="shared" si="486"/>
        <v>106</v>
      </c>
      <c r="AP167" s="994">
        <f t="shared" si="486"/>
        <v>429</v>
      </c>
      <c r="AQ167" s="210">
        <f t="shared" si="486"/>
        <v>101</v>
      </c>
      <c r="AR167" s="210">
        <f t="shared" si="487" ref="AR167:AW167">AR345</f>
        <v>104</v>
      </c>
      <c r="AS167" s="210">
        <f t="shared" si="487"/>
        <v>97</v>
      </c>
      <c r="AT167" s="210">
        <f t="shared" si="487"/>
        <v>100</v>
      </c>
      <c r="AU167" s="994">
        <f t="shared" si="487"/>
        <v>402</v>
      </c>
      <c r="AV167" s="210">
        <f t="shared" si="487"/>
        <v>103</v>
      </c>
      <c r="AW167" s="210">
        <f t="shared" si="487"/>
        <v>100</v>
      </c>
      <c r="AX167" s="210">
        <f t="shared" si="488" ref="AX167:BC167">AX345</f>
        <v>104</v>
      </c>
      <c r="AY167" s="210">
        <f t="shared" si="488"/>
        <v>105</v>
      </c>
      <c r="AZ167" s="994">
        <f t="shared" si="488"/>
        <v>412</v>
      </c>
      <c r="BA167" s="210">
        <f t="shared" si="488"/>
        <v>106</v>
      </c>
      <c r="BB167" s="210">
        <f t="shared" si="488"/>
        <v>106</v>
      </c>
      <c r="BC167" s="210">
        <f t="shared" si="488"/>
        <v>112</v>
      </c>
      <c r="BD167" s="210">
        <f>BD345</f>
        <v>109</v>
      </c>
      <c r="BE167" s="994">
        <f>BE345</f>
        <v>433</v>
      </c>
      <c r="BF167" s="210">
        <f>BF345</f>
        <v>109</v>
      </c>
      <c r="BG167" s="210">
        <f>BG345</f>
        <v>115</v>
      </c>
      <c r="BH167" s="553">
        <f>BH345</f>
        <v>121</v>
      </c>
      <c r="BI167" s="210"/>
      <c r="BJ167" s="994"/>
      <c r="BK167" s="210"/>
      <c r="BL167" s="210"/>
      <c r="BM167" s="210"/>
      <c r="BN167" s="210"/>
      <c r="BO167" s="994"/>
      <c r="BP167" s="994"/>
      <c r="BQ167" s="994"/>
      <c r="BR167" s="994"/>
      <c r="BS167" s="265"/>
    </row>
    <row r="168" spans="1:71" s="261" customFormat="1" ht="15" hidden="1" outlineLevel="1">
      <c r="A168" s="566" t="s">
        <v>565</v>
      </c>
      <c r="B168" s="469"/>
      <c r="C168" s="996">
        <f t="shared" si="489" ref="C168:AQ168">C347</f>
        <v>163</v>
      </c>
      <c r="D168" s="996">
        <f t="shared" si="489"/>
        <v>70</v>
      </c>
      <c r="E168" s="996">
        <f t="shared" si="489"/>
        <v>126</v>
      </c>
      <c r="F168" s="996">
        <f t="shared" si="489"/>
        <v>120</v>
      </c>
      <c r="G168" s="996">
        <f t="shared" si="489"/>
        <v>277</v>
      </c>
      <c r="H168" s="205">
        <f t="shared" si="489"/>
        <v>41</v>
      </c>
      <c r="I168" s="205">
        <f t="shared" si="489"/>
        <v>34</v>
      </c>
      <c r="J168" s="205">
        <f t="shared" si="489"/>
        <v>34</v>
      </c>
      <c r="K168" s="205">
        <f t="shared" si="489"/>
        <v>36</v>
      </c>
      <c r="L168" s="996">
        <f t="shared" si="489"/>
        <v>145</v>
      </c>
      <c r="M168" s="205">
        <f t="shared" si="489"/>
        <v>25</v>
      </c>
      <c r="N168" s="205">
        <f t="shared" si="489"/>
        <v>22</v>
      </c>
      <c r="O168" s="205">
        <f t="shared" si="489"/>
        <v>21</v>
      </c>
      <c r="P168" s="205">
        <f t="shared" si="489"/>
        <v>31</v>
      </c>
      <c r="Q168" s="996">
        <f t="shared" si="489"/>
        <v>99</v>
      </c>
      <c r="R168" s="205">
        <f t="shared" si="489"/>
        <v>53</v>
      </c>
      <c r="S168" s="205">
        <f t="shared" si="489"/>
        <v>31</v>
      </c>
      <c r="T168" s="205">
        <f t="shared" si="489"/>
        <v>31</v>
      </c>
      <c r="U168" s="205">
        <f t="shared" si="489"/>
        <v>148</v>
      </c>
      <c r="V168" s="996">
        <f t="shared" si="489"/>
        <v>263</v>
      </c>
      <c r="W168" s="205">
        <f t="shared" si="489"/>
        <v>31</v>
      </c>
      <c r="X168" s="205">
        <f t="shared" si="489"/>
        <v>39</v>
      </c>
      <c r="Y168" s="205">
        <f t="shared" si="489"/>
        <v>40</v>
      </c>
      <c r="Z168" s="205">
        <f t="shared" si="489"/>
        <v>49</v>
      </c>
      <c r="AA168" s="996">
        <f t="shared" si="489"/>
        <v>159</v>
      </c>
      <c r="AB168" s="205">
        <f t="shared" si="489"/>
        <v>54</v>
      </c>
      <c r="AC168" s="205">
        <f t="shared" si="489"/>
        <v>39</v>
      </c>
      <c r="AD168" s="205">
        <f t="shared" si="489"/>
        <v>57</v>
      </c>
      <c r="AE168" s="205">
        <f t="shared" si="489"/>
        <v>53</v>
      </c>
      <c r="AF168" s="996">
        <f t="shared" si="489"/>
        <v>203</v>
      </c>
      <c r="AG168" s="205">
        <f t="shared" si="489"/>
        <v>72</v>
      </c>
      <c r="AH168" s="205">
        <f t="shared" si="489"/>
        <v>57</v>
      </c>
      <c r="AI168" s="205">
        <f t="shared" si="489"/>
        <v>68</v>
      </c>
      <c r="AJ168" s="205">
        <f t="shared" si="489"/>
        <v>72</v>
      </c>
      <c r="AK168" s="996">
        <f t="shared" si="489"/>
        <v>269</v>
      </c>
      <c r="AL168" s="205">
        <f t="shared" si="489"/>
        <v>58</v>
      </c>
      <c r="AM168" s="205">
        <f t="shared" si="489"/>
        <v>51</v>
      </c>
      <c r="AN168" s="205">
        <f t="shared" si="489"/>
        <v>86</v>
      </c>
      <c r="AO168" s="205">
        <f t="shared" si="489"/>
        <v>84</v>
      </c>
      <c r="AP168" s="996">
        <f t="shared" si="489"/>
        <v>279</v>
      </c>
      <c r="AQ168" s="205">
        <f t="shared" si="489"/>
        <v>81</v>
      </c>
      <c r="AR168" s="205">
        <f t="shared" si="490" ref="AR168:AW168">AR347</f>
        <v>88</v>
      </c>
      <c r="AS168" s="205">
        <f t="shared" si="490"/>
        <v>100</v>
      </c>
      <c r="AT168" s="205">
        <f t="shared" si="490"/>
        <v>86</v>
      </c>
      <c r="AU168" s="996">
        <f t="shared" si="490"/>
        <v>355</v>
      </c>
      <c r="AV168" s="205">
        <f t="shared" si="490"/>
        <v>78</v>
      </c>
      <c r="AW168" s="205">
        <f t="shared" si="490"/>
        <v>107</v>
      </c>
      <c r="AX168" s="205">
        <f t="shared" si="491" ref="AX168:BC168">AX347</f>
        <v>84</v>
      </c>
      <c r="AY168" s="205">
        <f t="shared" si="491"/>
        <v>82</v>
      </c>
      <c r="AZ168" s="996">
        <f t="shared" si="491"/>
        <v>351</v>
      </c>
      <c r="BA168" s="205">
        <f t="shared" si="491"/>
        <v>75</v>
      </c>
      <c r="BB168" s="205">
        <f t="shared" si="491"/>
        <v>99</v>
      </c>
      <c r="BC168" s="205">
        <f t="shared" si="491"/>
        <v>101</v>
      </c>
      <c r="BD168" s="205">
        <f>BD347</f>
        <v>78</v>
      </c>
      <c r="BE168" s="996">
        <f>BE347</f>
        <v>353</v>
      </c>
      <c r="BF168" s="205">
        <f>BF347</f>
        <v>112</v>
      </c>
      <c r="BG168" s="205">
        <f>BG347</f>
        <v>105</v>
      </c>
      <c r="BH168" s="658">
        <f>BH347</f>
        <v>120</v>
      </c>
      <c r="BI168" s="205"/>
      <c r="BJ168" s="996"/>
      <c r="BK168" s="205"/>
      <c r="BL168" s="205"/>
      <c r="BM168" s="205"/>
      <c r="BN168" s="205"/>
      <c r="BO168" s="996"/>
      <c r="BP168" s="996"/>
      <c r="BQ168" s="996"/>
      <c r="BR168" s="996"/>
      <c r="BS168" s="265"/>
    </row>
    <row r="169" spans="1:71" s="45" customFormat="1" ht="15" hidden="1" outlineLevel="1">
      <c r="A169" s="477" t="s">
        <v>563</v>
      </c>
      <c r="B169" s="470"/>
      <c r="C169" s="1009">
        <f t="shared" si="492" ref="C169:AQ169">SUM(C167:C168)</f>
        <v>469</v>
      </c>
      <c r="D169" s="1009">
        <f t="shared" si="492"/>
        <v>357</v>
      </c>
      <c r="E169" s="1009">
        <f t="shared" si="492"/>
        <v>422</v>
      </c>
      <c r="F169" s="1009">
        <f t="shared" si="492"/>
        <v>443</v>
      </c>
      <c r="G169" s="1009">
        <f t="shared" si="492"/>
        <v>672</v>
      </c>
      <c r="H169" s="199">
        <f t="shared" si="492"/>
        <v>148</v>
      </c>
      <c r="I169" s="199">
        <f t="shared" si="492"/>
        <v>146</v>
      </c>
      <c r="J169" s="199">
        <f t="shared" si="492"/>
        <v>144</v>
      </c>
      <c r="K169" s="199">
        <f t="shared" si="492"/>
        <v>145</v>
      </c>
      <c r="L169" s="1009">
        <f t="shared" si="492"/>
        <v>583</v>
      </c>
      <c r="M169" s="199">
        <f t="shared" si="492"/>
        <v>139</v>
      </c>
      <c r="N169" s="199">
        <f t="shared" si="492"/>
        <v>137</v>
      </c>
      <c r="O169" s="199">
        <f t="shared" si="492"/>
        <v>137</v>
      </c>
      <c r="P169" s="199">
        <f t="shared" si="492"/>
        <v>146</v>
      </c>
      <c r="Q169" s="1009">
        <f t="shared" si="492"/>
        <v>559</v>
      </c>
      <c r="R169" s="199">
        <f t="shared" si="492"/>
        <v>170</v>
      </c>
      <c r="S169" s="199">
        <f t="shared" si="492"/>
        <v>150</v>
      </c>
      <c r="T169" s="199">
        <f t="shared" si="492"/>
        <v>147</v>
      </c>
      <c r="U169" s="199">
        <f t="shared" si="492"/>
        <v>254</v>
      </c>
      <c r="V169" s="1009">
        <f t="shared" si="492"/>
        <v>721</v>
      </c>
      <c r="W169" s="199">
        <f t="shared" si="492"/>
        <v>144</v>
      </c>
      <c r="X169" s="199">
        <f t="shared" si="492"/>
        <v>155</v>
      </c>
      <c r="Y169" s="199">
        <f t="shared" si="492"/>
        <v>153</v>
      </c>
      <c r="Z169" s="199">
        <f t="shared" si="492"/>
        <v>154</v>
      </c>
      <c r="AA169" s="1009">
        <f t="shared" si="492"/>
        <v>606</v>
      </c>
      <c r="AB169" s="199">
        <f t="shared" si="492"/>
        <v>157</v>
      </c>
      <c r="AC169" s="199">
        <f t="shared" si="492"/>
        <v>151</v>
      </c>
      <c r="AD169" s="199">
        <f t="shared" si="492"/>
        <v>166</v>
      </c>
      <c r="AE169" s="199">
        <f t="shared" si="492"/>
        <v>161</v>
      </c>
      <c r="AF169" s="1009">
        <f t="shared" si="492"/>
        <v>635</v>
      </c>
      <c r="AG169" s="199">
        <f t="shared" si="492"/>
        <v>181</v>
      </c>
      <c r="AH169" s="199">
        <f t="shared" si="492"/>
        <v>173</v>
      </c>
      <c r="AI169" s="199">
        <f t="shared" si="492"/>
        <v>189</v>
      </c>
      <c r="AJ169" s="199">
        <f t="shared" si="492"/>
        <v>185</v>
      </c>
      <c r="AK169" s="1009">
        <f t="shared" si="492"/>
        <v>728</v>
      </c>
      <c r="AL169" s="199">
        <f t="shared" si="492"/>
        <v>166</v>
      </c>
      <c r="AM169" s="199">
        <f t="shared" si="492"/>
        <v>165</v>
      </c>
      <c r="AN169" s="199">
        <f t="shared" si="492"/>
        <v>187</v>
      </c>
      <c r="AO169" s="199">
        <f t="shared" si="492"/>
        <v>190</v>
      </c>
      <c r="AP169" s="1009">
        <f t="shared" si="492"/>
        <v>708</v>
      </c>
      <c r="AQ169" s="199">
        <f t="shared" si="492"/>
        <v>182</v>
      </c>
      <c r="AR169" s="199">
        <f t="shared" si="493" ref="AR169:AW169">SUM(AR167:AR168)</f>
        <v>192</v>
      </c>
      <c r="AS169" s="199">
        <f t="shared" si="493"/>
        <v>197</v>
      </c>
      <c r="AT169" s="199">
        <f t="shared" si="493"/>
        <v>186</v>
      </c>
      <c r="AU169" s="1009">
        <f t="shared" si="493"/>
        <v>757</v>
      </c>
      <c r="AV169" s="199">
        <f t="shared" si="493"/>
        <v>181</v>
      </c>
      <c r="AW169" s="199">
        <f t="shared" si="493"/>
        <v>207</v>
      </c>
      <c r="AX169" s="199">
        <f t="shared" si="494" ref="AX169:BC169">SUM(AX167:AX168)</f>
        <v>188</v>
      </c>
      <c r="AY169" s="199">
        <f t="shared" si="494"/>
        <v>187</v>
      </c>
      <c r="AZ169" s="1009">
        <f t="shared" si="494"/>
        <v>763</v>
      </c>
      <c r="BA169" s="199">
        <f t="shared" si="494"/>
        <v>181</v>
      </c>
      <c r="BB169" s="199">
        <f t="shared" si="494"/>
        <v>205</v>
      </c>
      <c r="BC169" s="199">
        <f t="shared" si="494"/>
        <v>213</v>
      </c>
      <c r="BD169" s="199">
        <f>SUM(BD167:BD168)</f>
        <v>187</v>
      </c>
      <c r="BE169" s="1009">
        <f>SUM(BE167:BE168)</f>
        <v>786</v>
      </c>
      <c r="BF169" s="199">
        <f>SUM(BF167:BF168)</f>
        <v>221</v>
      </c>
      <c r="BG169" s="199">
        <f>SUM(BG167:BG168)</f>
        <v>220</v>
      </c>
      <c r="BH169" s="554">
        <f>SUM(BH167:BH168)</f>
        <v>241</v>
      </c>
      <c r="BI169" s="199">
        <f>BD169*(1+BI171)</f>
        <v>196.35</v>
      </c>
      <c r="BJ169" s="1009">
        <f>SUM(BF169,BG169,BH169,BI169)</f>
        <v>878.35</v>
      </c>
      <c r="BK169" s="199">
        <f>BF169*(1+BK171)</f>
        <v>232.05</v>
      </c>
      <c r="BL169" s="199">
        <f>BG169*(1+BL171)</f>
        <v>231</v>
      </c>
      <c r="BM169" s="199">
        <f>BH169*(1+BM171)</f>
        <v>253.05</v>
      </c>
      <c r="BN169" s="199">
        <f>BI169*(1+BN171)</f>
        <v>206.1675</v>
      </c>
      <c r="BO169" s="1009">
        <f>SUM(BK169,BL169,BM169,BN169)</f>
        <v>922.2675</v>
      </c>
      <c r="BP169" s="1009">
        <f>BO169*(1+BP171)</f>
        <v>968.38087500000006</v>
      </c>
      <c r="BQ169" s="1009">
        <f>BP169*(1+BQ171)</f>
        <v>1016.7999187500001</v>
      </c>
      <c r="BR169" s="1009">
        <f>BQ169*(1+BR171)</f>
        <v>1067.6399146875001</v>
      </c>
      <c r="BS169" s="185"/>
    </row>
    <row r="170" spans="1:71" s="24" customFormat="1" ht="15" hidden="1" outlineLevel="1">
      <c r="A170" s="449"/>
      <c r="B170" s="445"/>
      <c r="C170" s="1011"/>
      <c r="D170" s="1011"/>
      <c r="E170" s="1011"/>
      <c r="F170" s="1011"/>
      <c r="G170" s="1011"/>
      <c r="H170" s="857"/>
      <c r="I170" s="857"/>
      <c r="J170" s="857"/>
      <c r="K170" s="857"/>
      <c r="L170" s="1011"/>
      <c r="M170" s="857"/>
      <c r="N170" s="857"/>
      <c r="O170" s="857"/>
      <c r="P170" s="857"/>
      <c r="Q170" s="1011"/>
      <c r="R170" s="857"/>
      <c r="S170" s="857"/>
      <c r="T170" s="857"/>
      <c r="U170" s="857"/>
      <c r="V170" s="1011"/>
      <c r="W170" s="857"/>
      <c r="X170" s="857"/>
      <c r="Y170" s="857"/>
      <c r="Z170" s="857"/>
      <c r="AA170" s="1011"/>
      <c r="AB170" s="857"/>
      <c r="AC170" s="857"/>
      <c r="AD170" s="857"/>
      <c r="AE170" s="857"/>
      <c r="AF170" s="1011"/>
      <c r="AG170" s="857"/>
      <c r="AH170" s="857"/>
      <c r="AI170" s="857"/>
      <c r="AJ170" s="857"/>
      <c r="AK170" s="1011"/>
      <c r="AL170" s="857"/>
      <c r="AM170" s="857"/>
      <c r="AN170" s="857"/>
      <c r="AO170" s="857"/>
      <c r="AP170" s="1011"/>
      <c r="AQ170" s="857"/>
      <c r="AR170" s="857"/>
      <c r="AS170" s="857"/>
      <c r="AT170" s="857"/>
      <c r="AU170" s="1011"/>
      <c r="AV170" s="857"/>
      <c r="AW170" s="857"/>
      <c r="AX170" s="857"/>
      <c r="AY170" s="857"/>
      <c r="AZ170" s="1011"/>
      <c r="BA170" s="857"/>
      <c r="BB170" s="857"/>
      <c r="BC170" s="857"/>
      <c r="BD170" s="857"/>
      <c r="BE170" s="1011"/>
      <c r="BF170" s="857"/>
      <c r="BG170" s="857"/>
      <c r="BH170" s="858"/>
      <c r="BI170" s="857"/>
      <c r="BJ170" s="1011"/>
      <c r="BK170" s="857"/>
      <c r="BL170" s="857"/>
      <c r="BM170" s="857"/>
      <c r="BN170" s="857"/>
      <c r="BO170" s="1011"/>
      <c r="BP170" s="1011"/>
      <c r="BQ170" s="1011"/>
      <c r="BR170" s="1011"/>
      <c r="BS170" s="833"/>
    </row>
    <row r="171" spans="1:71" s="182" customFormat="1" ht="15" hidden="1" outlineLevel="1">
      <c r="A171" s="663" t="s">
        <v>566</v>
      </c>
      <c r="B171" s="114"/>
      <c r="C171" s="1022"/>
      <c r="D171" s="1022">
        <f t="shared" si="495" ref="D171:F171">D169/C169-1</f>
        <v>-0.23880597014925375</v>
      </c>
      <c r="E171" s="1022">
        <f t="shared" si="495"/>
        <v>0.18207282913165268</v>
      </c>
      <c r="F171" s="1022">
        <f t="shared" si="495"/>
        <v>0.049763033175355353</v>
      </c>
      <c r="G171" s="1022">
        <f>G169/F169-1</f>
        <v>0.51693002257336351</v>
      </c>
      <c r="H171" s="663"/>
      <c r="I171" s="663"/>
      <c r="J171" s="663"/>
      <c r="K171" s="663"/>
      <c r="L171" s="1022">
        <f t="shared" si="496" ref="L171:AQ171">L169/G169-1</f>
        <v>-0.13244047619047616</v>
      </c>
      <c r="M171" s="663">
        <f t="shared" si="496"/>
        <v>-0.060810810810810856</v>
      </c>
      <c r="N171" s="663">
        <f t="shared" si="496"/>
        <v>-0.06164383561643838</v>
      </c>
      <c r="O171" s="663">
        <f t="shared" si="496"/>
        <v>-0.04861111111111116</v>
      </c>
      <c r="P171" s="663">
        <f t="shared" si="496"/>
        <v>0.0068965517241379448</v>
      </c>
      <c r="Q171" s="1022">
        <f t="shared" si="496"/>
        <v>-0.04116638078902235</v>
      </c>
      <c r="R171" s="663">
        <f t="shared" si="496"/>
        <v>0.2230215827338129</v>
      </c>
      <c r="S171" s="663">
        <f t="shared" si="496"/>
        <v>0.094890510948905105</v>
      </c>
      <c r="T171" s="663">
        <f t="shared" si="496"/>
        <v>0.072992700729926918</v>
      </c>
      <c r="U171" s="663">
        <f t="shared" si="496"/>
        <v>0.73972602739726034</v>
      </c>
      <c r="V171" s="1022">
        <f t="shared" si="496"/>
        <v>0.28980322003577808</v>
      </c>
      <c r="W171" s="663">
        <f t="shared" si="496"/>
        <v>-0.15294117647058825</v>
      </c>
      <c r="X171" s="663">
        <f t="shared" si="496"/>
        <v>0.033333333333333437</v>
      </c>
      <c r="Y171" s="663">
        <f t="shared" si="496"/>
        <v>0.04081632653061229</v>
      </c>
      <c r="Z171" s="663">
        <f t="shared" si="496"/>
        <v>-0.39370078740157477</v>
      </c>
      <c r="AA171" s="1022">
        <f t="shared" si="496"/>
        <v>-0.15950069348127605</v>
      </c>
      <c r="AB171" s="663">
        <f t="shared" si="496"/>
        <v>0.090277777777777679</v>
      </c>
      <c r="AC171" s="663">
        <f t="shared" si="496"/>
        <v>-0.025806451612903181</v>
      </c>
      <c r="AD171" s="663">
        <f t="shared" si="496"/>
        <v>0.084967320261437829</v>
      </c>
      <c r="AE171" s="663">
        <f t="shared" si="496"/>
        <v>0.045454545454545414</v>
      </c>
      <c r="AF171" s="1022">
        <f t="shared" si="496"/>
        <v>0.047854785478547823</v>
      </c>
      <c r="AG171" s="663">
        <f t="shared" si="496"/>
        <v>0.15286624203821653</v>
      </c>
      <c r="AH171" s="663">
        <f t="shared" si="496"/>
        <v>0.14569536423841067</v>
      </c>
      <c r="AI171" s="663">
        <f t="shared" si="496"/>
        <v>0.13855421686746983</v>
      </c>
      <c r="AJ171" s="663">
        <f t="shared" si="496"/>
        <v>0.14906832298136652</v>
      </c>
      <c r="AK171" s="1022">
        <f t="shared" si="496"/>
        <v>0.14645669291338592</v>
      </c>
      <c r="AL171" s="663">
        <f t="shared" si="496"/>
        <v>-0.082872928176795591</v>
      </c>
      <c r="AM171" s="663">
        <f t="shared" si="496"/>
        <v>-0.046242774566473965</v>
      </c>
      <c r="AN171" s="663">
        <f t="shared" si="496"/>
        <v>-0.010582010582010581</v>
      </c>
      <c r="AO171" s="663">
        <f t="shared" si="496"/>
        <v>0.027027027027026973</v>
      </c>
      <c r="AP171" s="1022">
        <f t="shared" si="496"/>
        <v>-0.027472527472527486</v>
      </c>
      <c r="AQ171" s="663">
        <f t="shared" si="496"/>
        <v>0.096385542168674787</v>
      </c>
      <c r="AR171" s="663">
        <f t="shared" si="497" ref="AR171:AW171">AR169/AM169-1</f>
        <v>0.16363636363636358</v>
      </c>
      <c r="AS171" s="663">
        <f t="shared" si="497"/>
        <v>0.053475935828876997</v>
      </c>
      <c r="AT171" s="663">
        <f t="shared" si="497"/>
        <v>-0.021052631578947323</v>
      </c>
      <c r="AU171" s="1022">
        <f t="shared" si="497"/>
        <v>0.069209039548022488</v>
      </c>
      <c r="AV171" s="663">
        <f t="shared" si="497"/>
        <v>-0.005494505494505475</v>
      </c>
      <c r="AW171" s="663">
        <f t="shared" si="497"/>
        <v>0.078125</v>
      </c>
      <c r="AX171" s="663">
        <f t="shared" si="498" ref="AX171:BC171">AX169/AS169-1</f>
        <v>-0.045685279187817285</v>
      </c>
      <c r="AY171" s="663">
        <f t="shared" si="498"/>
        <v>0.0053763440860215006</v>
      </c>
      <c r="AZ171" s="1022">
        <f t="shared" si="498"/>
        <v>0.0079260237780713894</v>
      </c>
      <c r="BA171" s="663">
        <f t="shared" si="498"/>
        <v>0</v>
      </c>
      <c r="BB171" s="663">
        <f t="shared" si="498"/>
        <v>-0.0096618357487923134</v>
      </c>
      <c r="BC171" s="663">
        <f t="shared" si="498"/>
        <v>0.13297872340425543</v>
      </c>
      <c r="BD171" s="663">
        <f>BD169/AY169-1</f>
        <v>0</v>
      </c>
      <c r="BE171" s="1022">
        <f>BE169/AZ169-1</f>
        <v>0.030144167758846763</v>
      </c>
      <c r="BF171" s="663">
        <f>BF169/BA169-1</f>
        <v>0.22099447513812165</v>
      </c>
      <c r="BG171" s="663">
        <f>BG169/BB169-1</f>
        <v>0.073170731707317138</v>
      </c>
      <c r="BH171" s="759">
        <f>BH169/BC169-1</f>
        <v>0.13145539906103276</v>
      </c>
      <c r="BI171" s="915">
        <v>0.05</v>
      </c>
      <c r="BJ171" s="1022">
        <f>BJ169/BE169-1</f>
        <v>0.11749363867684481</v>
      </c>
      <c r="BK171" s="915">
        <v>0.05</v>
      </c>
      <c r="BL171" s="915">
        <v>0.05</v>
      </c>
      <c r="BM171" s="915">
        <v>0.05</v>
      </c>
      <c r="BN171" s="915">
        <v>0.05</v>
      </c>
      <c r="BO171" s="1022">
        <f>BO169/BJ169-1</f>
        <v>0.050000000000000044</v>
      </c>
      <c r="BP171" s="1025">
        <v>0.05</v>
      </c>
      <c r="BQ171" s="1025">
        <v>0.05</v>
      </c>
      <c r="BR171" s="1025">
        <v>0.05</v>
      </c>
      <c r="BS171" s="662"/>
    </row>
    <row r="172" spans="1:71" s="24" customFormat="1" ht="15" collapsed="1">
      <c r="A172" s="449"/>
      <c r="B172" s="445"/>
      <c r="C172" s="1011"/>
      <c r="D172" s="1011"/>
      <c r="E172" s="1011"/>
      <c r="F172" s="1011"/>
      <c r="G172" s="1011"/>
      <c r="H172" s="857"/>
      <c r="I172" s="857"/>
      <c r="J172" s="857"/>
      <c r="K172" s="857"/>
      <c r="L172" s="1011"/>
      <c r="M172" s="857"/>
      <c r="N172" s="857"/>
      <c r="O172" s="857"/>
      <c r="P172" s="857"/>
      <c r="Q172" s="1011"/>
      <c r="R172" s="857"/>
      <c r="S172" s="857"/>
      <c r="T172" s="857"/>
      <c r="U172" s="857"/>
      <c r="V172" s="1011"/>
      <c r="W172" s="857"/>
      <c r="X172" s="857"/>
      <c r="Y172" s="857"/>
      <c r="Z172" s="857"/>
      <c r="AA172" s="1011"/>
      <c r="AB172" s="857"/>
      <c r="AC172" s="857"/>
      <c r="AD172" s="857"/>
      <c r="AE172" s="857"/>
      <c r="AF172" s="1011"/>
      <c r="AG172" s="857"/>
      <c r="AH172" s="857"/>
      <c r="AI172" s="857"/>
      <c r="AJ172" s="857"/>
      <c r="AK172" s="1011"/>
      <c r="AL172" s="857"/>
      <c r="AM172" s="857"/>
      <c r="AN172" s="857"/>
      <c r="AO172" s="857"/>
      <c r="AP172" s="1011"/>
      <c r="AQ172" s="857"/>
      <c r="AR172" s="857"/>
      <c r="AS172" s="857"/>
      <c r="AT172" s="857"/>
      <c r="AU172" s="1011"/>
      <c r="AV172" s="857"/>
      <c r="AW172" s="857"/>
      <c r="AX172" s="857"/>
      <c r="AY172" s="857"/>
      <c r="AZ172" s="1011"/>
      <c r="BA172" s="857"/>
      <c r="BB172" s="857"/>
      <c r="BC172" s="857"/>
      <c r="BD172" s="857"/>
      <c r="BE172" s="1011"/>
      <c r="BF172" s="857"/>
      <c r="BG172" s="857"/>
      <c r="BH172" s="858"/>
      <c r="BI172" s="857"/>
      <c r="BJ172" s="1011"/>
      <c r="BK172" s="857"/>
      <c r="BL172" s="857"/>
      <c r="BM172" s="857"/>
      <c r="BN172" s="857"/>
      <c r="BO172" s="1011"/>
      <c r="BP172" s="1011"/>
      <c r="BQ172" s="1011"/>
      <c r="BR172" s="1011"/>
      <c r="BS172" s="833"/>
    </row>
    <row r="173" spans="1:71" s="181" customFormat="1" ht="15">
      <c r="A173" s="826" t="s">
        <v>391</v>
      </c>
      <c r="B173" s="826"/>
      <c r="C173" s="847"/>
      <c r="D173" s="847"/>
      <c r="E173" s="847"/>
      <c r="F173" s="847"/>
      <c r="G173" s="847"/>
      <c r="H173" s="847"/>
      <c r="I173" s="847"/>
      <c r="J173" s="847"/>
      <c r="K173" s="847"/>
      <c r="L173" s="847"/>
      <c r="M173" s="847"/>
      <c r="N173" s="847"/>
      <c r="O173" s="847"/>
      <c r="P173" s="847"/>
      <c r="Q173" s="847"/>
      <c r="R173" s="847"/>
      <c r="S173" s="847"/>
      <c r="T173" s="847"/>
      <c r="U173" s="847"/>
      <c r="V173" s="847"/>
      <c r="W173" s="847"/>
      <c r="X173" s="847"/>
      <c r="Y173" s="847"/>
      <c r="Z173" s="847"/>
      <c r="AA173" s="847"/>
      <c r="AB173" s="847"/>
      <c r="AC173" s="847"/>
      <c r="AD173" s="847"/>
      <c r="AE173" s="847"/>
      <c r="AF173" s="847"/>
      <c r="AG173" s="847"/>
      <c r="AH173" s="847"/>
      <c r="AI173" s="847"/>
      <c r="AJ173" s="847"/>
      <c r="AK173" s="847"/>
      <c r="AL173" s="847"/>
      <c r="AM173" s="847"/>
      <c r="AN173" s="847"/>
      <c r="AO173" s="847"/>
      <c r="AP173" s="847"/>
      <c r="AQ173" s="847"/>
      <c r="AR173" s="847"/>
      <c r="AS173" s="847"/>
      <c r="AT173" s="847"/>
      <c r="AU173" s="847"/>
      <c r="AV173" s="847"/>
      <c r="AW173" s="847"/>
      <c r="AX173" s="847"/>
      <c r="AY173" s="847"/>
      <c r="AZ173" s="847"/>
      <c r="BA173" s="847"/>
      <c r="BB173" s="847"/>
      <c r="BC173" s="847"/>
      <c r="BD173" s="847"/>
      <c r="BE173" s="847"/>
      <c r="BF173" s="847"/>
      <c r="BG173" s="847"/>
      <c r="BH173" s="848"/>
      <c r="BI173" s="847"/>
      <c r="BJ173" s="847"/>
      <c r="BK173" s="847"/>
      <c r="BL173" s="847"/>
      <c r="BM173" s="847"/>
      <c r="BN173" s="847"/>
      <c r="BO173" s="847"/>
      <c r="BP173" s="847"/>
      <c r="BQ173" s="847"/>
      <c r="BR173" s="847"/>
      <c r="BS173" s="423"/>
    </row>
    <row r="174" spans="1:71" s="261" customFormat="1" ht="15" hidden="1" outlineLevel="1">
      <c r="A174" s="264" t="s">
        <v>370</v>
      </c>
      <c r="B174" s="468"/>
      <c r="C174" s="1032">
        <v>10968</v>
      </c>
      <c r="D174" s="1032">
        <v>10766</v>
      </c>
      <c r="E174" s="1032">
        <v>11327</v>
      </c>
      <c r="F174" s="1032">
        <v>11691</v>
      </c>
      <c r="G174" s="1032">
        <v>13332</v>
      </c>
      <c r="H174" s="924">
        <v>3558</v>
      </c>
      <c r="I174" s="924">
        <v>3631</v>
      </c>
      <c r="J174" s="924">
        <v>3660</v>
      </c>
      <c r="K174" s="924">
        <v>3663</v>
      </c>
      <c r="L174" s="1032">
        <v>14512</v>
      </c>
      <c r="M174" s="924">
        <v>3620</v>
      </c>
      <c r="N174" s="924">
        <v>3609</v>
      </c>
      <c r="O174" s="924">
        <v>3653</v>
      </c>
      <c r="P174" s="924">
        <v>3639</v>
      </c>
      <c r="Q174" s="1032">
        <v>14521</v>
      </c>
      <c r="R174" s="924">
        <v>3414</v>
      </c>
      <c r="S174" s="924">
        <v>3439</v>
      </c>
      <c r="T174" s="924">
        <v>3497</v>
      </c>
      <c r="U174" s="924">
        <v>3505</v>
      </c>
      <c r="V174" s="1032">
        <v>13855</v>
      </c>
      <c r="W174" s="924">
        <v>3429</v>
      </c>
      <c r="X174" s="924">
        <v>3504</v>
      </c>
      <c r="Y174" s="924">
        <v>3576</v>
      </c>
      <c r="Z174" s="924">
        <v>3637</v>
      </c>
      <c r="AA174" s="1032">
        <v>14146</v>
      </c>
      <c r="AB174" s="924">
        <v>3568</v>
      </c>
      <c r="AC174" s="924">
        <v>3641</v>
      </c>
      <c r="AD174" s="924">
        <v>3743</v>
      </c>
      <c r="AE174" s="924">
        <v>3770</v>
      </c>
      <c r="AF174" s="993">
        <f>SUM(AB174,AC174,AD174,AE174)</f>
        <v>14722</v>
      </c>
      <c r="AG174" s="924">
        <v>3742</v>
      </c>
      <c r="AH174" s="924">
        <v>3783</v>
      </c>
      <c r="AI174" s="924">
        <v>3882</v>
      </c>
      <c r="AJ174" s="924">
        <v>3893</v>
      </c>
      <c r="AK174" s="993">
        <f>SUM(AG174,AH174,AI174,AJ174)</f>
        <v>15300</v>
      </c>
      <c r="AL174" s="924">
        <v>3864</v>
      </c>
      <c r="AM174" s="924">
        <v>3735</v>
      </c>
      <c r="AN174" s="924">
        <v>3841</v>
      </c>
      <c r="AO174" s="265">
        <f>AP174-SUM(AL174,AM174,AN174)</f>
        <v>3854</v>
      </c>
      <c r="AP174" s="1032">
        <v>15294</v>
      </c>
      <c r="AQ174" s="924">
        <v>3799</v>
      </c>
      <c r="AR174" s="924">
        <v>3880</v>
      </c>
      <c r="AS174" s="924">
        <v>3970</v>
      </c>
      <c r="AT174" s="265">
        <f>AU174-SUM(AQ174,AR174,AS174)</f>
        <v>4085</v>
      </c>
      <c r="AU174" s="1032">
        <v>15734</v>
      </c>
      <c r="AV174" s="924">
        <v>4071</v>
      </c>
      <c r="AW174" s="924">
        <v>4218</v>
      </c>
      <c r="AX174" s="924">
        <v>4353</v>
      </c>
      <c r="AY174" s="265">
        <f>AZ174-SUM(AV174,AW174,AX174)</f>
        <v>4453</v>
      </c>
      <c r="AZ174" s="1032">
        <v>17095</v>
      </c>
      <c r="BA174" s="924">
        <v>4477</v>
      </c>
      <c r="BB174" s="924">
        <v>4644</v>
      </c>
      <c r="BC174" s="924">
        <v>4956</v>
      </c>
      <c r="BD174" s="265">
        <f>BE174-SUM(BA174,BB174,BC174)</f>
        <v>5067</v>
      </c>
      <c r="BE174" s="1032">
        <v>19144</v>
      </c>
      <c r="BF174" s="924">
        <v>5160</v>
      </c>
      <c r="BG174" s="924">
        <v>5168</v>
      </c>
      <c r="BH174" s="925">
        <v>5474</v>
      </c>
      <c r="BI174" s="210"/>
      <c r="BJ174" s="994"/>
      <c r="BK174" s="210"/>
      <c r="BL174" s="210"/>
      <c r="BM174" s="210"/>
      <c r="BN174" s="210"/>
      <c r="BO174" s="994"/>
      <c r="BP174" s="994"/>
      <c r="BQ174" s="994"/>
      <c r="BR174" s="994"/>
      <c r="BS174" s="265"/>
    </row>
    <row r="175" spans="1:71" s="261" customFormat="1" ht="15" hidden="1" outlineLevel="1">
      <c r="A175" s="264" t="s">
        <v>371</v>
      </c>
      <c r="B175" s="468"/>
      <c r="C175" s="1032">
        <v>1902</v>
      </c>
      <c r="D175" s="1032">
        <v>2156</v>
      </c>
      <c r="E175" s="1032">
        <v>2041</v>
      </c>
      <c r="F175" s="1032">
        <v>2090</v>
      </c>
      <c r="G175" s="1032">
        <v>2087</v>
      </c>
      <c r="H175" s="924">
        <v>570</v>
      </c>
      <c r="I175" s="924">
        <v>539</v>
      </c>
      <c r="J175" s="924">
        <v>557</v>
      </c>
      <c r="K175" s="924">
        <v>490</v>
      </c>
      <c r="L175" s="1032">
        <v>2156</v>
      </c>
      <c r="M175" s="924">
        <v>454</v>
      </c>
      <c r="N175" s="924">
        <v>487</v>
      </c>
      <c r="O175" s="924">
        <v>471</v>
      </c>
      <c r="P175" s="924">
        <v>412</v>
      </c>
      <c r="Q175" s="1032">
        <v>1824</v>
      </c>
      <c r="R175" s="924">
        <v>399</v>
      </c>
      <c r="S175" s="924">
        <v>404</v>
      </c>
      <c r="T175" s="924">
        <v>431</v>
      </c>
      <c r="U175" s="924">
        <v>467</v>
      </c>
      <c r="V175" s="1032">
        <v>1701</v>
      </c>
      <c r="W175" s="924">
        <v>453</v>
      </c>
      <c r="X175" s="924">
        <v>447</v>
      </c>
      <c r="Y175" s="924">
        <v>437</v>
      </c>
      <c r="Z175" s="924">
        <v>449</v>
      </c>
      <c r="AA175" s="1032">
        <v>1786</v>
      </c>
      <c r="AB175" s="924">
        <v>446</v>
      </c>
      <c r="AC175" s="924">
        <v>440</v>
      </c>
      <c r="AD175" s="924">
        <v>482</v>
      </c>
      <c r="AE175" s="924">
        <v>465</v>
      </c>
      <c r="AF175" s="993">
        <f>SUM(AB175,AC175,AD175,AE175)</f>
        <v>1833</v>
      </c>
      <c r="AG175" s="924">
        <v>427</v>
      </c>
      <c r="AH175" s="924">
        <v>481</v>
      </c>
      <c r="AI175" s="924">
        <v>457</v>
      </c>
      <c r="AJ175" s="924">
        <v>451</v>
      </c>
      <c r="AK175" s="993">
        <f>SUM(AG175,AH175,AI175,AJ175)</f>
        <v>1816</v>
      </c>
      <c r="AL175" s="924">
        <v>453</v>
      </c>
      <c r="AM175" s="924">
        <v>180</v>
      </c>
      <c r="AN175" s="924">
        <v>498</v>
      </c>
      <c r="AO175" s="265">
        <f>AP175-SUM(AL175,AM175,AN175)</f>
        <v>502</v>
      </c>
      <c r="AP175" s="1032">
        <v>1633</v>
      </c>
      <c r="AQ175" s="924">
        <v>523</v>
      </c>
      <c r="AR175" s="924">
        <v>615</v>
      </c>
      <c r="AS175" s="924">
        <v>575</v>
      </c>
      <c r="AT175" s="265">
        <f>AU175-SUM(AQ175,AR175,AS175)</f>
        <v>552</v>
      </c>
      <c r="AU175" s="1032">
        <v>2265</v>
      </c>
      <c r="AV175" s="924">
        <v>468</v>
      </c>
      <c r="AW175" s="924">
        <v>521</v>
      </c>
      <c r="AX175" s="924">
        <v>426</v>
      </c>
      <c r="AY175" s="265">
        <f>AZ175-SUM(AV175,AW175,AX175)</f>
        <v>449</v>
      </c>
      <c r="AZ175" s="1032">
        <v>1864</v>
      </c>
      <c r="BA175" s="924">
        <v>473</v>
      </c>
      <c r="BB175" s="924">
        <v>509</v>
      </c>
      <c r="BC175" s="924">
        <v>551</v>
      </c>
      <c r="BD175" s="265">
        <f>BE175-SUM(BA175,BB175,BC175)</f>
        <v>552</v>
      </c>
      <c r="BE175" s="1032">
        <v>2085</v>
      </c>
      <c r="BF175" s="924">
        <v>609</v>
      </c>
      <c r="BG175" s="924">
        <v>632</v>
      </c>
      <c r="BH175" s="925">
        <v>642</v>
      </c>
      <c r="BI175" s="210"/>
      <c r="BJ175" s="994"/>
      <c r="BK175" s="210"/>
      <c r="BL175" s="210"/>
      <c r="BM175" s="210"/>
      <c r="BN175" s="210"/>
      <c r="BO175" s="994"/>
      <c r="BP175" s="994"/>
      <c r="BQ175" s="994"/>
      <c r="BR175" s="994"/>
      <c r="BS175" s="265"/>
    </row>
    <row r="176" spans="1:71" s="261" customFormat="1" ht="15" hidden="1" outlineLevel="1">
      <c r="A176" s="264" t="s">
        <v>372</v>
      </c>
      <c r="B176" s="468"/>
      <c r="C176" s="1032">
        <v>306</v>
      </c>
      <c r="D176" s="1032">
        <v>285</v>
      </c>
      <c r="E176" s="1032">
        <v>295</v>
      </c>
      <c r="F176" s="1032">
        <v>322</v>
      </c>
      <c r="G176" s="1032">
        <v>395</v>
      </c>
      <c r="H176" s="924">
        <v>107</v>
      </c>
      <c r="I176" s="924">
        <v>112</v>
      </c>
      <c r="J176" s="924">
        <v>110</v>
      </c>
      <c r="K176" s="924">
        <v>109</v>
      </c>
      <c r="L176" s="1032">
        <v>438</v>
      </c>
      <c r="M176" s="924">
        <v>111</v>
      </c>
      <c r="N176" s="924">
        <v>111</v>
      </c>
      <c r="O176" s="924">
        <v>112</v>
      </c>
      <c r="P176" s="924">
        <v>111</v>
      </c>
      <c r="Q176" s="1032">
        <v>445</v>
      </c>
      <c r="R176" s="924">
        <v>114</v>
      </c>
      <c r="S176" s="924">
        <v>115</v>
      </c>
      <c r="T176" s="924">
        <v>111</v>
      </c>
      <c r="U176" s="924">
        <v>102</v>
      </c>
      <c r="V176" s="1032">
        <v>442</v>
      </c>
      <c r="W176" s="924">
        <v>109</v>
      </c>
      <c r="X176" s="924">
        <v>112</v>
      </c>
      <c r="Y176" s="924">
        <v>108</v>
      </c>
      <c r="Z176" s="924">
        <v>101</v>
      </c>
      <c r="AA176" s="1032">
        <v>430</v>
      </c>
      <c r="AB176" s="924">
        <v>99</v>
      </c>
      <c r="AC176" s="924">
        <v>107</v>
      </c>
      <c r="AD176" s="924">
        <v>103</v>
      </c>
      <c r="AE176" s="924">
        <v>103</v>
      </c>
      <c r="AF176" s="993">
        <f>SUM(AB176,AC176,AD176,AE176)</f>
        <v>412</v>
      </c>
      <c r="AG176" s="924">
        <v>104</v>
      </c>
      <c r="AH176" s="924">
        <v>111</v>
      </c>
      <c r="AI176" s="924">
        <v>114</v>
      </c>
      <c r="AJ176" s="924">
        <v>108</v>
      </c>
      <c r="AK176" s="993">
        <f>SUM(AG176,AH176,AI176,AJ176)</f>
        <v>437</v>
      </c>
      <c r="AL176" s="924">
        <v>102</v>
      </c>
      <c r="AM176" s="924">
        <v>108</v>
      </c>
      <c r="AN176" s="924">
        <v>95</v>
      </c>
      <c r="AO176" s="265">
        <f>AP176-SUM(AL176,AM176,AN176)</f>
        <v>100</v>
      </c>
      <c r="AP176" s="1032">
        <v>405</v>
      </c>
      <c r="AQ176" s="924">
        <v>95</v>
      </c>
      <c r="AR176" s="924">
        <v>97</v>
      </c>
      <c r="AS176" s="924">
        <v>90</v>
      </c>
      <c r="AT176" s="265">
        <f>AU176-SUM(AQ176,AR176,AS176)</f>
        <v>93</v>
      </c>
      <c r="AU176" s="1032">
        <v>375</v>
      </c>
      <c r="AV176" s="924">
        <v>96</v>
      </c>
      <c r="AW176" s="924">
        <v>93</v>
      </c>
      <c r="AX176" s="924">
        <v>96</v>
      </c>
      <c r="AY176" s="265">
        <f>AZ176-SUM(AV176,AW176,AX176)</f>
        <v>97</v>
      </c>
      <c r="AZ176" s="1032">
        <v>382</v>
      </c>
      <c r="BA176" s="924">
        <v>99</v>
      </c>
      <c r="BB176" s="924">
        <v>98</v>
      </c>
      <c r="BC176" s="924">
        <v>102</v>
      </c>
      <c r="BD176" s="265">
        <f>BE176-SUM(BA176,BB176,BC176)</f>
        <v>101</v>
      </c>
      <c r="BE176" s="1032">
        <v>400</v>
      </c>
      <c r="BF176" s="924">
        <v>101</v>
      </c>
      <c r="BG176" s="924">
        <v>105</v>
      </c>
      <c r="BH176" s="925">
        <v>109</v>
      </c>
      <c r="BI176" s="210"/>
      <c r="BJ176" s="994"/>
      <c r="BK176" s="210"/>
      <c r="BL176" s="210"/>
      <c r="BM176" s="210"/>
      <c r="BN176" s="210"/>
      <c r="BO176" s="994"/>
      <c r="BP176" s="994"/>
      <c r="BQ176" s="994"/>
      <c r="BR176" s="994"/>
      <c r="BS176" s="265"/>
    </row>
    <row r="177" spans="1:71" s="261" customFormat="1" ht="15" hidden="1" outlineLevel="1">
      <c r="A177" s="209" t="s">
        <v>373</v>
      </c>
      <c r="B177" s="469"/>
      <c r="C177" s="1033">
        <v>42</v>
      </c>
      <c r="D177" s="1033">
        <v>28</v>
      </c>
      <c r="E177" s="1033">
        <v>31</v>
      </c>
      <c r="F177" s="1033">
        <v>40</v>
      </c>
      <c r="G177" s="1033">
        <v>160</v>
      </c>
      <c r="H177" s="927">
        <v>12</v>
      </c>
      <c r="I177" s="927">
        <v>10</v>
      </c>
      <c r="J177" s="927">
        <v>10</v>
      </c>
      <c r="K177" s="927">
        <v>14</v>
      </c>
      <c r="L177" s="1033">
        <v>46</v>
      </c>
      <c r="M177" s="927">
        <v>8</v>
      </c>
      <c r="N177" s="927">
        <v>5</v>
      </c>
      <c r="O177" s="927">
        <v>5</v>
      </c>
      <c r="P177" s="927">
        <v>5</v>
      </c>
      <c r="Q177" s="1033">
        <v>23</v>
      </c>
      <c r="R177" s="927">
        <v>30</v>
      </c>
      <c r="S177" s="927">
        <v>8</v>
      </c>
      <c r="T177" s="927">
        <v>7</v>
      </c>
      <c r="U177" s="927">
        <v>123</v>
      </c>
      <c r="V177" s="1033">
        <v>168</v>
      </c>
      <c r="W177" s="927">
        <v>9</v>
      </c>
      <c r="X177" s="927">
        <v>15</v>
      </c>
      <c r="Y177" s="927">
        <v>19</v>
      </c>
      <c r="Z177" s="927">
        <v>26</v>
      </c>
      <c r="AA177" s="1033">
        <v>69</v>
      </c>
      <c r="AB177" s="927">
        <v>31</v>
      </c>
      <c r="AC177" s="927">
        <v>20</v>
      </c>
      <c r="AD177" s="927">
        <v>33</v>
      </c>
      <c r="AE177" s="927">
        <v>28</v>
      </c>
      <c r="AF177" s="995">
        <f>SUM(AB177,AC177,AD177,AE177)</f>
        <v>112</v>
      </c>
      <c r="AG177" s="927">
        <v>43</v>
      </c>
      <c r="AH177" s="927">
        <v>30</v>
      </c>
      <c r="AI177" s="927">
        <v>39</v>
      </c>
      <c r="AJ177" s="927">
        <v>43</v>
      </c>
      <c r="AK177" s="995">
        <f>SUM(AG177,AH177,AI177,AJ177)</f>
        <v>155</v>
      </c>
      <c r="AL177" s="927">
        <v>31</v>
      </c>
      <c r="AM177" s="927">
        <v>36</v>
      </c>
      <c r="AN177" s="927">
        <v>58</v>
      </c>
      <c r="AO177" s="186">
        <f>AP177-SUM(AL177,AM177,AN177)</f>
        <v>51</v>
      </c>
      <c r="AP177" s="1033">
        <v>176</v>
      </c>
      <c r="AQ177" s="927">
        <v>53</v>
      </c>
      <c r="AR177" s="927">
        <v>57</v>
      </c>
      <c r="AS177" s="927">
        <v>69</v>
      </c>
      <c r="AT177" s="186">
        <f>AU177-SUM(AQ177,AR177,AS177)</f>
        <v>56</v>
      </c>
      <c r="AU177" s="1033">
        <v>235</v>
      </c>
      <c r="AV177" s="927">
        <v>53</v>
      </c>
      <c r="AW177" s="927">
        <v>85</v>
      </c>
      <c r="AX177" s="927">
        <v>56</v>
      </c>
      <c r="AY177" s="186">
        <f>AZ177-SUM(AV177,AW177,AX177)</f>
        <v>54</v>
      </c>
      <c r="AZ177" s="1033">
        <v>248</v>
      </c>
      <c r="BA177" s="927">
        <v>47</v>
      </c>
      <c r="BB177" s="927">
        <v>67</v>
      </c>
      <c r="BC177" s="927">
        <v>71</v>
      </c>
      <c r="BD177" s="186">
        <f>BE177-SUM(BA177,BB177,BC177)</f>
        <v>47</v>
      </c>
      <c r="BE177" s="1033">
        <v>232</v>
      </c>
      <c r="BF177" s="927">
        <v>77</v>
      </c>
      <c r="BG177" s="927">
        <v>77</v>
      </c>
      <c r="BH177" s="928">
        <v>89</v>
      </c>
      <c r="BI177" s="205"/>
      <c r="BJ177" s="996"/>
      <c r="BK177" s="205"/>
      <c r="BL177" s="205"/>
      <c r="BM177" s="205"/>
      <c r="BN177" s="205"/>
      <c r="BO177" s="996"/>
      <c r="BP177" s="996"/>
      <c r="BQ177" s="996"/>
      <c r="BR177" s="996"/>
      <c r="BS177" s="265"/>
    </row>
    <row r="178" spans="1:71" s="45" customFormat="1" ht="15" hidden="1" outlineLevel="1">
      <c r="A178" s="197" t="s">
        <v>374</v>
      </c>
      <c r="B178" s="470"/>
      <c r="C178" s="1008">
        <f t="shared" si="499" ref="C178:AM178">SUM(C174:C177)</f>
        <v>13218</v>
      </c>
      <c r="D178" s="1008">
        <f t="shared" si="499"/>
        <v>13235</v>
      </c>
      <c r="E178" s="1008">
        <f t="shared" si="499"/>
        <v>13694</v>
      </c>
      <c r="F178" s="1008">
        <f t="shared" si="499"/>
        <v>14143</v>
      </c>
      <c r="G178" s="1008">
        <f t="shared" si="499"/>
        <v>15974</v>
      </c>
      <c r="H178" s="185">
        <f t="shared" si="499"/>
        <v>4247</v>
      </c>
      <c r="I178" s="185">
        <f t="shared" si="499"/>
        <v>4292</v>
      </c>
      <c r="J178" s="185">
        <f t="shared" si="499"/>
        <v>4337</v>
      </c>
      <c r="K178" s="185">
        <f t="shared" si="499"/>
        <v>4276</v>
      </c>
      <c r="L178" s="1008">
        <f t="shared" si="499"/>
        <v>17152</v>
      </c>
      <c r="M178" s="185">
        <f t="shared" si="499"/>
        <v>4193</v>
      </c>
      <c r="N178" s="185">
        <f t="shared" si="499"/>
        <v>4212</v>
      </c>
      <c r="O178" s="185">
        <f t="shared" si="499"/>
        <v>4241</v>
      </c>
      <c r="P178" s="185">
        <f t="shared" si="499"/>
        <v>4167</v>
      </c>
      <c r="Q178" s="1008">
        <f t="shared" si="499"/>
        <v>16813</v>
      </c>
      <c r="R178" s="185">
        <f t="shared" si="499"/>
        <v>3957</v>
      </c>
      <c r="S178" s="185">
        <f t="shared" si="499"/>
        <v>3966</v>
      </c>
      <c r="T178" s="185">
        <f t="shared" si="499"/>
        <v>4046</v>
      </c>
      <c r="U178" s="185">
        <f t="shared" si="499"/>
        <v>4197</v>
      </c>
      <c r="V178" s="1008">
        <f t="shared" si="499"/>
        <v>16166</v>
      </c>
      <c r="W178" s="185">
        <f t="shared" si="499"/>
        <v>4000</v>
      </c>
      <c r="X178" s="185">
        <f t="shared" si="499"/>
        <v>4078</v>
      </c>
      <c r="Y178" s="185">
        <f t="shared" si="499"/>
        <v>4140</v>
      </c>
      <c r="Z178" s="185">
        <f t="shared" si="499"/>
        <v>4213</v>
      </c>
      <c r="AA178" s="1008">
        <f t="shared" si="499"/>
        <v>16431</v>
      </c>
      <c r="AB178" s="185">
        <f t="shared" si="499"/>
        <v>4144</v>
      </c>
      <c r="AC178" s="185">
        <f t="shared" si="499"/>
        <v>4208</v>
      </c>
      <c r="AD178" s="185">
        <f t="shared" si="499"/>
        <v>4361</v>
      </c>
      <c r="AE178" s="185">
        <f t="shared" si="499"/>
        <v>4366</v>
      </c>
      <c r="AF178" s="1008">
        <f t="shared" si="499"/>
        <v>17079</v>
      </c>
      <c r="AG178" s="185">
        <f t="shared" si="499"/>
        <v>4316</v>
      </c>
      <c r="AH178" s="185">
        <f t="shared" si="499"/>
        <v>4405</v>
      </c>
      <c r="AI178" s="185">
        <f t="shared" si="499"/>
        <v>4492</v>
      </c>
      <c r="AJ178" s="185">
        <f t="shared" si="499"/>
        <v>4495</v>
      </c>
      <c r="AK178" s="1008">
        <f t="shared" si="499"/>
        <v>17708</v>
      </c>
      <c r="AL178" s="185">
        <f t="shared" si="499"/>
        <v>4450</v>
      </c>
      <c r="AM178" s="185">
        <f t="shared" si="499"/>
        <v>4059</v>
      </c>
      <c r="AN178" s="185">
        <f>SUM(AN174:AN177)</f>
        <v>4492</v>
      </c>
      <c r="AO178" s="185">
        <f t="shared" si="500" ref="AO178:AQ178">SUM(AO174:AO177)</f>
        <v>4507</v>
      </c>
      <c r="AP178" s="1008">
        <f t="shared" si="500"/>
        <v>17508</v>
      </c>
      <c r="AQ178" s="185">
        <f t="shared" si="500"/>
        <v>4470</v>
      </c>
      <c r="AR178" s="185">
        <f t="shared" si="501" ref="AR178:AW178">SUM(AR174:AR177)</f>
        <v>4649</v>
      </c>
      <c r="AS178" s="185">
        <f t="shared" si="501"/>
        <v>4704</v>
      </c>
      <c r="AT178" s="185">
        <f t="shared" si="501"/>
        <v>4786</v>
      </c>
      <c r="AU178" s="1008">
        <f t="shared" si="501"/>
        <v>18609</v>
      </c>
      <c r="AV178" s="185">
        <f t="shared" si="501"/>
        <v>4688</v>
      </c>
      <c r="AW178" s="185">
        <f t="shared" si="501"/>
        <v>4917</v>
      </c>
      <c r="AX178" s="185">
        <f t="shared" si="502" ref="AX178:BC178">SUM(AX174:AX177)</f>
        <v>4931</v>
      </c>
      <c r="AY178" s="185">
        <f t="shared" si="502"/>
        <v>5053</v>
      </c>
      <c r="AZ178" s="1008">
        <f t="shared" si="502"/>
        <v>19589</v>
      </c>
      <c r="BA178" s="185">
        <f t="shared" si="502"/>
        <v>5096</v>
      </c>
      <c r="BB178" s="185">
        <f t="shared" si="502"/>
        <v>5318</v>
      </c>
      <c r="BC178" s="185">
        <f t="shared" si="502"/>
        <v>5680</v>
      </c>
      <c r="BD178" s="185">
        <f>SUM(BD174:BD177)</f>
        <v>5767</v>
      </c>
      <c r="BE178" s="1008">
        <f>SUM(BE174:BE177)</f>
        <v>21861</v>
      </c>
      <c r="BF178" s="185">
        <f>SUM(BF174:BF177)</f>
        <v>5947</v>
      </c>
      <c r="BG178" s="185">
        <f>SUM(BG174:BG177)</f>
        <v>5982</v>
      </c>
      <c r="BH178" s="749">
        <f>SUM(BH174:BH177)</f>
        <v>6314</v>
      </c>
      <c r="BI178" s="199"/>
      <c r="BJ178" s="1009"/>
      <c r="BK178" s="199"/>
      <c r="BL178" s="199"/>
      <c r="BM178" s="199"/>
      <c r="BN178" s="199"/>
      <c r="BO178" s="1009"/>
      <c r="BP178" s="1009"/>
      <c r="BQ178" s="1009"/>
      <c r="BR178" s="1009"/>
      <c r="BS178" s="185"/>
    </row>
    <row r="179" spans="1:71" s="261" customFormat="1" ht="15" hidden="1" outlineLevel="1">
      <c r="A179" s="264" t="s">
        <v>375</v>
      </c>
      <c r="B179" s="468"/>
      <c r="C179" s="1032">
        <v>6037</v>
      </c>
      <c r="D179" s="1032">
        <v>6504</v>
      </c>
      <c r="E179" s="1032">
        <v>8447</v>
      </c>
      <c r="F179" s="1032">
        <v>7857</v>
      </c>
      <c r="G179" s="1032">
        <v>8285</v>
      </c>
      <c r="H179" s="924">
        <v>2177</v>
      </c>
      <c r="I179" s="924">
        <v>2455</v>
      </c>
      <c r="J179" s="924">
        <v>2360</v>
      </c>
      <c r="K179" s="924">
        <v>2153</v>
      </c>
      <c r="L179" s="1032">
        <v>9145</v>
      </c>
      <c r="M179" s="924">
        <v>2265</v>
      </c>
      <c r="N179" s="924">
        <v>2238</v>
      </c>
      <c r="O179" s="924">
        <v>2229</v>
      </c>
      <c r="P179" s="924">
        <v>2127</v>
      </c>
      <c r="Q179" s="1032">
        <v>8859</v>
      </c>
      <c r="R179" s="924">
        <v>2213</v>
      </c>
      <c r="S179" s="924">
        <v>2244</v>
      </c>
      <c r="T179" s="924">
        <v>2274</v>
      </c>
      <c r="U179" s="924">
        <v>2022</v>
      </c>
      <c r="V179" s="1032">
        <v>8753</v>
      </c>
      <c r="W179" s="924">
        <v>2265</v>
      </c>
      <c r="X179" s="924">
        <v>2306</v>
      </c>
      <c r="Y179" s="924">
        <v>2847</v>
      </c>
      <c r="Z179" s="924">
        <v>2103</v>
      </c>
      <c r="AA179" s="1032">
        <v>9521</v>
      </c>
      <c r="AB179" s="924">
        <v>2392</v>
      </c>
      <c r="AC179" s="924">
        <v>2484</v>
      </c>
      <c r="AD179" s="924">
        <v>2653</v>
      </c>
      <c r="AE179" s="924">
        <v>2642</v>
      </c>
      <c r="AF179" s="993">
        <f>SUM(AB179,AC179,AD179,AE179)</f>
        <v>10171</v>
      </c>
      <c r="AG179" s="924">
        <v>2580</v>
      </c>
      <c r="AH179" s="924">
        <v>2686</v>
      </c>
      <c r="AI179" s="924">
        <v>3028</v>
      </c>
      <c r="AJ179" s="924">
        <v>2669</v>
      </c>
      <c r="AK179" s="993">
        <f>SUM(AG179,AH179,AI179,AJ179)</f>
        <v>10963</v>
      </c>
      <c r="AL179" s="924">
        <v>2791</v>
      </c>
      <c r="AM179" s="924">
        <v>2880</v>
      </c>
      <c r="AN179" s="924">
        <v>2804</v>
      </c>
      <c r="AO179" s="265">
        <f>AP179-SUM(AL179,AM179,AN179)</f>
        <v>2329</v>
      </c>
      <c r="AP179" s="1032">
        <v>10804</v>
      </c>
      <c r="AQ179" s="924">
        <v>2788</v>
      </c>
      <c r="AR179" s="924">
        <v>2539</v>
      </c>
      <c r="AS179" s="924">
        <v>2703</v>
      </c>
      <c r="AT179" s="265">
        <f>AU179-SUM(AQ179,AR179,AS179)</f>
        <v>2368</v>
      </c>
      <c r="AU179" s="1032">
        <v>10398</v>
      </c>
      <c r="AV179" s="924">
        <v>2514</v>
      </c>
      <c r="AW179" s="924">
        <v>2698</v>
      </c>
      <c r="AX179" s="924">
        <v>2959</v>
      </c>
      <c r="AY179" s="265">
        <f>AZ179-SUM(AV179,AW179,AX179)</f>
        <v>2736</v>
      </c>
      <c r="AZ179" s="1032">
        <v>10907</v>
      </c>
      <c r="BA179" s="924">
        <v>2907</v>
      </c>
      <c r="BB179" s="924">
        <v>3296</v>
      </c>
      <c r="BC179" s="924">
        <v>3519</v>
      </c>
      <c r="BD179" s="265">
        <f>BE179-SUM(BA179,BB179,BC179)</f>
        <v>2974</v>
      </c>
      <c r="BE179" s="1032">
        <v>12696</v>
      </c>
      <c r="BF179" s="924">
        <v>3331</v>
      </c>
      <c r="BG179" s="924">
        <v>3471</v>
      </c>
      <c r="BH179" s="925">
        <v>3698</v>
      </c>
      <c r="BI179" s="210"/>
      <c r="BJ179" s="994"/>
      <c r="BK179" s="210"/>
      <c r="BL179" s="210"/>
      <c r="BM179" s="210"/>
      <c r="BN179" s="210"/>
      <c r="BO179" s="994"/>
      <c r="BP179" s="994"/>
      <c r="BQ179" s="994"/>
      <c r="BR179" s="994"/>
      <c r="BS179" s="265"/>
    </row>
    <row r="180" spans="1:71" s="261" customFormat="1" ht="15" hidden="1" outlineLevel="1">
      <c r="A180" s="264" t="s">
        <v>376</v>
      </c>
      <c r="B180" s="468"/>
      <c r="C180" s="1032">
        <v>1775</v>
      </c>
      <c r="D180" s="1032">
        <v>1749</v>
      </c>
      <c r="E180" s="1032">
        <v>1815</v>
      </c>
      <c r="F180" s="1032">
        <v>1884</v>
      </c>
      <c r="G180" s="1032">
        <v>2158</v>
      </c>
      <c r="H180" s="924">
        <v>565</v>
      </c>
      <c r="I180" s="924">
        <v>580</v>
      </c>
      <c r="J180" s="924">
        <v>589</v>
      </c>
      <c r="K180" s="924">
        <v>587</v>
      </c>
      <c r="L180" s="1032">
        <v>2321</v>
      </c>
      <c r="M180" s="924">
        <v>584</v>
      </c>
      <c r="N180" s="924">
        <v>578</v>
      </c>
      <c r="O180" s="924">
        <v>589</v>
      </c>
      <c r="P180" s="924">
        <v>578</v>
      </c>
      <c r="Q180" s="1032">
        <v>2329</v>
      </c>
      <c r="R180" s="924">
        <v>546</v>
      </c>
      <c r="S180" s="924">
        <v>553</v>
      </c>
      <c r="T180" s="924">
        <v>563</v>
      </c>
      <c r="U180" s="924">
        <v>559</v>
      </c>
      <c r="V180" s="1032">
        <v>2221</v>
      </c>
      <c r="W180" s="924">
        <v>554</v>
      </c>
      <c r="X180" s="924">
        <v>567</v>
      </c>
      <c r="Y180" s="924">
        <v>579</v>
      </c>
      <c r="Z180" s="924">
        <v>586</v>
      </c>
      <c r="AA180" s="1032">
        <v>2286</v>
      </c>
      <c r="AB180" s="924">
        <v>580</v>
      </c>
      <c r="AC180" s="924">
        <v>588</v>
      </c>
      <c r="AD180" s="924">
        <v>610</v>
      </c>
      <c r="AE180" s="924">
        <v>610</v>
      </c>
      <c r="AF180" s="993">
        <f>SUM(AB180,AC180,AD180,AE180)</f>
        <v>2388</v>
      </c>
      <c r="AG180" s="924">
        <v>615</v>
      </c>
      <c r="AH180" s="924">
        <v>618</v>
      </c>
      <c r="AI180" s="924">
        <v>634</v>
      </c>
      <c r="AJ180" s="924">
        <v>636</v>
      </c>
      <c r="AK180" s="993">
        <f>SUM(AG180,AH180,AI180,AJ180)</f>
        <v>2503</v>
      </c>
      <c r="AL180" s="924">
        <v>636</v>
      </c>
      <c r="AM180" s="924">
        <v>622</v>
      </c>
      <c r="AN180" s="924">
        <v>633</v>
      </c>
      <c r="AO180" s="265">
        <f>AP180-SUM(AL180,AM180,AN180)</f>
        <v>627</v>
      </c>
      <c r="AP180" s="1032">
        <v>2518</v>
      </c>
      <c r="AQ180" s="924">
        <v>627</v>
      </c>
      <c r="AR180" s="924">
        <v>642</v>
      </c>
      <c r="AS180" s="924">
        <v>653</v>
      </c>
      <c r="AT180" s="265">
        <f>AU180-SUM(AQ180,AR180,AS180)</f>
        <v>659</v>
      </c>
      <c r="AU180" s="1032">
        <v>2581</v>
      </c>
      <c r="AV180" s="924">
        <v>668</v>
      </c>
      <c r="AW180" s="924">
        <v>691</v>
      </c>
      <c r="AX180" s="924">
        <v>708</v>
      </c>
      <c r="AY180" s="265">
        <f>AZ180-SUM(AV180,AW180,AX180)</f>
        <v>721</v>
      </c>
      <c r="AZ180" s="1032">
        <v>2788</v>
      </c>
      <c r="BA180" s="924">
        <v>742</v>
      </c>
      <c r="BB180" s="924">
        <v>773</v>
      </c>
      <c r="BC180" s="924">
        <v>820</v>
      </c>
      <c r="BD180" s="265">
        <f>BE180-SUM(BA180,BB180,BC180)</f>
        <v>838</v>
      </c>
      <c r="BE180" s="1032">
        <v>3173</v>
      </c>
      <c r="BF180" s="924">
        <v>864</v>
      </c>
      <c r="BG180" s="924">
        <v>861</v>
      </c>
      <c r="BH180" s="925">
        <v>930</v>
      </c>
      <c r="BI180" s="210"/>
      <c r="BJ180" s="994"/>
      <c r="BK180" s="210"/>
      <c r="BL180" s="210"/>
      <c r="BM180" s="210"/>
      <c r="BN180" s="210"/>
      <c r="BO180" s="994"/>
      <c r="BP180" s="994"/>
      <c r="BQ180" s="994"/>
      <c r="BR180" s="994"/>
      <c r="BS180" s="265"/>
    </row>
    <row r="181" spans="1:71" s="261" customFormat="1" ht="15" hidden="1" outlineLevel="1">
      <c r="A181" s="209" t="s">
        <v>377</v>
      </c>
      <c r="B181" s="469"/>
      <c r="C181" s="1033">
        <v>1966</v>
      </c>
      <c r="D181" s="1033">
        <v>1904</v>
      </c>
      <c r="E181" s="1033">
        <v>1944</v>
      </c>
      <c r="F181" s="1033">
        <v>2020</v>
      </c>
      <c r="G181" s="1033">
        <v>2369</v>
      </c>
      <c r="H181" s="927">
        <v>554</v>
      </c>
      <c r="I181" s="927">
        <v>653</v>
      </c>
      <c r="J181" s="927">
        <v>661</v>
      </c>
      <c r="K181" s="927">
        <v>673</v>
      </c>
      <c r="L181" s="1033">
        <v>2541</v>
      </c>
      <c r="M181" s="927">
        <v>654</v>
      </c>
      <c r="N181" s="927">
        <v>674</v>
      </c>
      <c r="O181" s="927">
        <v>675</v>
      </c>
      <c r="P181" s="927">
        <v>683</v>
      </c>
      <c r="Q181" s="1033">
        <v>2686</v>
      </c>
      <c r="R181" s="927">
        <v>615</v>
      </c>
      <c r="S181" s="927">
        <v>649</v>
      </c>
      <c r="T181" s="927">
        <v>650</v>
      </c>
      <c r="U181" s="927">
        <v>640</v>
      </c>
      <c r="V181" s="1033">
        <v>2554</v>
      </c>
      <c r="W181" s="927">
        <v>610</v>
      </c>
      <c r="X181" s="927">
        <v>636</v>
      </c>
      <c r="Y181" s="927">
        <v>643</v>
      </c>
      <c r="Z181" s="927">
        <v>674</v>
      </c>
      <c r="AA181" s="1033">
        <v>2563</v>
      </c>
      <c r="AB181" s="927">
        <v>650</v>
      </c>
      <c r="AC181" s="927">
        <v>674</v>
      </c>
      <c r="AD181" s="927">
        <v>648</v>
      </c>
      <c r="AE181" s="927">
        <v>651</v>
      </c>
      <c r="AF181" s="995">
        <f>SUM(AB181,AC181,AD181,AE181)</f>
        <v>2623</v>
      </c>
      <c r="AG181" s="927">
        <v>632</v>
      </c>
      <c r="AH181" s="927">
        <v>686</v>
      </c>
      <c r="AI181" s="927">
        <v>657</v>
      </c>
      <c r="AJ181" s="927">
        <v>652</v>
      </c>
      <c r="AK181" s="995">
        <f>SUM(AG181,AH181,AI181,AJ181)</f>
        <v>2627</v>
      </c>
      <c r="AL181" s="927">
        <v>685</v>
      </c>
      <c r="AM181" s="927">
        <v>656</v>
      </c>
      <c r="AN181" s="927">
        <v>651</v>
      </c>
      <c r="AO181" s="186">
        <f>AP181-SUM(AL181,AM181,AN181)</f>
        <v>672</v>
      </c>
      <c r="AP181" s="1033">
        <v>2664</v>
      </c>
      <c r="AQ181" s="927">
        <v>683</v>
      </c>
      <c r="AR181" s="927">
        <v>688</v>
      </c>
      <c r="AS181" s="927">
        <v>684</v>
      </c>
      <c r="AT181" s="186">
        <f>AU181-SUM(AQ181,AR181,AS181)</f>
        <v>691</v>
      </c>
      <c r="AU181" s="1033">
        <v>2746</v>
      </c>
      <c r="AV181" s="927">
        <v>697</v>
      </c>
      <c r="AW181" s="927">
        <v>714</v>
      </c>
      <c r="AX181" s="927">
        <v>704</v>
      </c>
      <c r="AY181" s="186">
        <f>AZ181-SUM(AV181,AW181,AX181)</f>
        <v>712</v>
      </c>
      <c r="AZ181" s="1033">
        <v>2827</v>
      </c>
      <c r="BA181" s="927">
        <v>734</v>
      </c>
      <c r="BB181" s="927">
        <v>764</v>
      </c>
      <c r="BC181" s="927">
        <v>772</v>
      </c>
      <c r="BD181" s="186">
        <f>BE181-SUM(BA181,BB181,BC181)</f>
        <v>771</v>
      </c>
      <c r="BE181" s="1033">
        <v>3041</v>
      </c>
      <c r="BF181" s="927">
        <v>818</v>
      </c>
      <c r="BG181" s="927">
        <v>835</v>
      </c>
      <c r="BH181" s="928">
        <v>826</v>
      </c>
      <c r="BI181" s="205"/>
      <c r="BJ181" s="996"/>
      <c r="BK181" s="205"/>
      <c r="BL181" s="205"/>
      <c r="BM181" s="205"/>
      <c r="BN181" s="205"/>
      <c r="BO181" s="996"/>
      <c r="BP181" s="996"/>
      <c r="BQ181" s="996"/>
      <c r="BR181" s="996"/>
      <c r="BS181" s="265"/>
    </row>
    <row r="182" spans="1:71" s="45" customFormat="1" ht="15" hidden="1" outlineLevel="1">
      <c r="A182" s="197" t="s">
        <v>378</v>
      </c>
      <c r="B182" s="470"/>
      <c r="C182" s="1008">
        <f t="shared" si="503" ref="C182:AM182">SUM(C179:C181)</f>
        <v>9778</v>
      </c>
      <c r="D182" s="1008">
        <f t="shared" si="503"/>
        <v>10157</v>
      </c>
      <c r="E182" s="1008">
        <f t="shared" si="503"/>
        <v>12206</v>
      </c>
      <c r="F182" s="1008">
        <f t="shared" si="503"/>
        <v>11761</v>
      </c>
      <c r="G182" s="1008">
        <f t="shared" si="503"/>
        <v>12812</v>
      </c>
      <c r="H182" s="185">
        <f t="shared" si="503"/>
        <v>3296</v>
      </c>
      <c r="I182" s="185">
        <f t="shared" si="503"/>
        <v>3688</v>
      </c>
      <c r="J182" s="185">
        <f t="shared" si="503"/>
        <v>3610</v>
      </c>
      <c r="K182" s="185">
        <f t="shared" si="503"/>
        <v>3413</v>
      </c>
      <c r="L182" s="1008">
        <f t="shared" si="503"/>
        <v>14007</v>
      </c>
      <c r="M182" s="185">
        <f t="shared" si="503"/>
        <v>3503</v>
      </c>
      <c r="N182" s="185">
        <f t="shared" si="503"/>
        <v>3490</v>
      </c>
      <c r="O182" s="185">
        <f t="shared" si="503"/>
        <v>3493</v>
      </c>
      <c r="P182" s="185">
        <f t="shared" si="503"/>
        <v>3388</v>
      </c>
      <c r="Q182" s="1008">
        <f t="shared" si="503"/>
        <v>13874</v>
      </c>
      <c r="R182" s="185">
        <f t="shared" si="503"/>
        <v>3374</v>
      </c>
      <c r="S182" s="185">
        <f t="shared" si="503"/>
        <v>3446</v>
      </c>
      <c r="T182" s="185">
        <f t="shared" si="503"/>
        <v>3487</v>
      </c>
      <c r="U182" s="185">
        <f t="shared" si="503"/>
        <v>3221</v>
      </c>
      <c r="V182" s="1008">
        <f t="shared" si="503"/>
        <v>13528</v>
      </c>
      <c r="W182" s="185">
        <f t="shared" si="503"/>
        <v>3429</v>
      </c>
      <c r="X182" s="185">
        <f t="shared" si="503"/>
        <v>3509</v>
      </c>
      <c r="Y182" s="185">
        <f t="shared" si="503"/>
        <v>4069</v>
      </c>
      <c r="Z182" s="185">
        <f t="shared" si="503"/>
        <v>3363</v>
      </c>
      <c r="AA182" s="1008">
        <f t="shared" si="503"/>
        <v>14370</v>
      </c>
      <c r="AB182" s="185">
        <f t="shared" si="503"/>
        <v>3622</v>
      </c>
      <c r="AC182" s="185">
        <f t="shared" si="503"/>
        <v>3746</v>
      </c>
      <c r="AD182" s="185">
        <f t="shared" si="503"/>
        <v>3911</v>
      </c>
      <c r="AE182" s="185">
        <f t="shared" si="503"/>
        <v>3903</v>
      </c>
      <c r="AF182" s="1008">
        <f t="shared" si="503"/>
        <v>15182</v>
      </c>
      <c r="AG182" s="185">
        <f t="shared" si="503"/>
        <v>3827</v>
      </c>
      <c r="AH182" s="185">
        <f t="shared" si="503"/>
        <v>3990</v>
      </c>
      <c r="AI182" s="185">
        <f t="shared" si="503"/>
        <v>4319</v>
      </c>
      <c r="AJ182" s="185">
        <f t="shared" si="503"/>
        <v>3957</v>
      </c>
      <c r="AK182" s="1008">
        <f t="shared" si="503"/>
        <v>16093</v>
      </c>
      <c r="AL182" s="185">
        <f t="shared" si="503"/>
        <v>4112</v>
      </c>
      <c r="AM182" s="185">
        <f t="shared" si="503"/>
        <v>4158</v>
      </c>
      <c r="AN182" s="185">
        <f>SUM(AN179:AN181)</f>
        <v>4088</v>
      </c>
      <c r="AO182" s="185">
        <f t="shared" si="504" ref="AO182:AQ182">SUM(AO179:AO181)</f>
        <v>3628</v>
      </c>
      <c r="AP182" s="1008">
        <f t="shared" si="504"/>
        <v>15986</v>
      </c>
      <c r="AQ182" s="185">
        <f t="shared" si="504"/>
        <v>4098</v>
      </c>
      <c r="AR182" s="185">
        <f t="shared" si="505" ref="AR182:AW182">SUM(AR179:AR181)</f>
        <v>3869</v>
      </c>
      <c r="AS182" s="185">
        <f t="shared" si="505"/>
        <v>4040</v>
      </c>
      <c r="AT182" s="185">
        <f t="shared" si="505"/>
        <v>3718</v>
      </c>
      <c r="AU182" s="1008">
        <f t="shared" si="505"/>
        <v>15725</v>
      </c>
      <c r="AV182" s="185">
        <f t="shared" si="505"/>
        <v>3879</v>
      </c>
      <c r="AW182" s="185">
        <f t="shared" si="505"/>
        <v>4103</v>
      </c>
      <c r="AX182" s="185">
        <f t="shared" si="506" ref="AX182:BC182">SUM(AX179:AX181)</f>
        <v>4371</v>
      </c>
      <c r="AY182" s="185">
        <f t="shared" si="506"/>
        <v>4169</v>
      </c>
      <c r="AZ182" s="1008">
        <f t="shared" si="506"/>
        <v>16522</v>
      </c>
      <c r="BA182" s="185">
        <f t="shared" si="506"/>
        <v>4383</v>
      </c>
      <c r="BB182" s="185">
        <f t="shared" si="506"/>
        <v>4833</v>
      </c>
      <c r="BC182" s="185">
        <f t="shared" si="506"/>
        <v>5111</v>
      </c>
      <c r="BD182" s="185">
        <f>SUM(BD179:BD181)</f>
        <v>4583</v>
      </c>
      <c r="BE182" s="1008">
        <f>SUM(BE179:BE181)</f>
        <v>18910</v>
      </c>
      <c r="BF182" s="185">
        <f>SUM(BF179:BF181)</f>
        <v>5013</v>
      </c>
      <c r="BG182" s="185">
        <f>SUM(BG179:BG181)</f>
        <v>5167</v>
      </c>
      <c r="BH182" s="749">
        <f>SUM(BH179:BH181)</f>
        <v>5454</v>
      </c>
      <c r="BI182" s="199"/>
      <c r="BJ182" s="1009"/>
      <c r="BK182" s="199"/>
      <c r="BL182" s="199"/>
      <c r="BM182" s="199"/>
      <c r="BN182" s="199"/>
      <c r="BO182" s="1009"/>
      <c r="BP182" s="1009"/>
      <c r="BQ182" s="1009"/>
      <c r="BR182" s="1009"/>
      <c r="BS182" s="185"/>
    </row>
    <row r="183" spans="1:71" s="45" customFormat="1" ht="15" hidden="1" outlineLevel="1">
      <c r="A183" s="197" t="s">
        <v>379</v>
      </c>
      <c r="B183" s="470"/>
      <c r="C183" s="1008">
        <f t="shared" si="507" ref="C183:AM183">C178-C182</f>
        <v>3440</v>
      </c>
      <c r="D183" s="1008">
        <f t="shared" si="507"/>
        <v>3078</v>
      </c>
      <c r="E183" s="1008">
        <f t="shared" si="507"/>
        <v>1488</v>
      </c>
      <c r="F183" s="1008">
        <f t="shared" si="507"/>
        <v>2382</v>
      </c>
      <c r="G183" s="1008">
        <f t="shared" si="507"/>
        <v>3162</v>
      </c>
      <c r="H183" s="185">
        <f t="shared" si="507"/>
        <v>951</v>
      </c>
      <c r="I183" s="185">
        <f t="shared" si="507"/>
        <v>604</v>
      </c>
      <c r="J183" s="185">
        <f t="shared" si="507"/>
        <v>727</v>
      </c>
      <c r="K183" s="185">
        <f t="shared" si="507"/>
        <v>863</v>
      </c>
      <c r="L183" s="1008">
        <f t="shared" si="507"/>
        <v>3145</v>
      </c>
      <c r="M183" s="185">
        <f t="shared" si="507"/>
        <v>690</v>
      </c>
      <c r="N183" s="185">
        <f t="shared" si="507"/>
        <v>722</v>
      </c>
      <c r="O183" s="185">
        <f t="shared" si="507"/>
        <v>748</v>
      </c>
      <c r="P183" s="185">
        <f t="shared" si="507"/>
        <v>779</v>
      </c>
      <c r="Q183" s="1008">
        <f t="shared" si="507"/>
        <v>2939</v>
      </c>
      <c r="R183" s="185">
        <f t="shared" si="507"/>
        <v>583</v>
      </c>
      <c r="S183" s="185">
        <f t="shared" si="507"/>
        <v>520</v>
      </c>
      <c r="T183" s="185">
        <f t="shared" si="507"/>
        <v>559</v>
      </c>
      <c r="U183" s="185">
        <f t="shared" si="507"/>
        <v>976</v>
      </c>
      <c r="V183" s="1008">
        <f t="shared" si="507"/>
        <v>2638</v>
      </c>
      <c r="W183" s="185">
        <f t="shared" si="507"/>
        <v>571</v>
      </c>
      <c r="X183" s="185">
        <f t="shared" si="507"/>
        <v>569</v>
      </c>
      <c r="Y183" s="185">
        <f t="shared" si="507"/>
        <v>71</v>
      </c>
      <c r="Z183" s="185">
        <f t="shared" si="507"/>
        <v>850</v>
      </c>
      <c r="AA183" s="1008">
        <f t="shared" si="507"/>
        <v>2061</v>
      </c>
      <c r="AB183" s="185">
        <f t="shared" si="507"/>
        <v>522</v>
      </c>
      <c r="AC183" s="185">
        <f t="shared" si="507"/>
        <v>462</v>
      </c>
      <c r="AD183" s="185">
        <f t="shared" si="507"/>
        <v>450</v>
      </c>
      <c r="AE183" s="185">
        <f t="shared" si="507"/>
        <v>463</v>
      </c>
      <c r="AF183" s="1008">
        <f t="shared" si="507"/>
        <v>1897</v>
      </c>
      <c r="AG183" s="185">
        <f t="shared" si="507"/>
        <v>489</v>
      </c>
      <c r="AH183" s="185">
        <f t="shared" si="507"/>
        <v>415</v>
      </c>
      <c r="AI183" s="185">
        <f t="shared" si="507"/>
        <v>173</v>
      </c>
      <c r="AJ183" s="185">
        <f t="shared" si="507"/>
        <v>538</v>
      </c>
      <c r="AK183" s="1008">
        <f t="shared" si="507"/>
        <v>1615</v>
      </c>
      <c r="AL183" s="185">
        <f t="shared" si="507"/>
        <v>338</v>
      </c>
      <c r="AM183" s="185">
        <f t="shared" si="507"/>
        <v>-99</v>
      </c>
      <c r="AN183" s="185">
        <f>AN178-AN182</f>
        <v>404</v>
      </c>
      <c r="AO183" s="185">
        <f t="shared" si="508" ref="AO183:AQ183">AO178-AO182</f>
        <v>879</v>
      </c>
      <c r="AP183" s="1008">
        <f t="shared" si="508"/>
        <v>1522</v>
      </c>
      <c r="AQ183" s="185">
        <f t="shared" si="508"/>
        <v>372</v>
      </c>
      <c r="AR183" s="185">
        <f t="shared" si="509" ref="AR183:AW183">AR178-AR182</f>
        <v>780</v>
      </c>
      <c r="AS183" s="185">
        <f t="shared" si="509"/>
        <v>664</v>
      </c>
      <c r="AT183" s="185">
        <f t="shared" si="509"/>
        <v>1068</v>
      </c>
      <c r="AU183" s="1008">
        <f t="shared" si="509"/>
        <v>2884</v>
      </c>
      <c r="AV183" s="185">
        <f t="shared" si="509"/>
        <v>809</v>
      </c>
      <c r="AW183" s="185">
        <f t="shared" si="509"/>
        <v>814</v>
      </c>
      <c r="AX183" s="185">
        <f t="shared" si="510" ref="AX183:BC183">AX178-AX182</f>
        <v>560</v>
      </c>
      <c r="AY183" s="185">
        <f t="shared" si="510"/>
        <v>884</v>
      </c>
      <c r="AZ183" s="1008">
        <f t="shared" si="510"/>
        <v>3067</v>
      </c>
      <c r="BA183" s="185">
        <f t="shared" si="510"/>
        <v>713</v>
      </c>
      <c r="BB183" s="185">
        <f t="shared" si="510"/>
        <v>485</v>
      </c>
      <c r="BC183" s="185">
        <f t="shared" si="510"/>
        <v>569</v>
      </c>
      <c r="BD183" s="185">
        <f>BD178-BD182</f>
        <v>1184</v>
      </c>
      <c r="BE183" s="1008">
        <f>BE178-BE182</f>
        <v>2951</v>
      </c>
      <c r="BF183" s="185">
        <f>BF178-BF182</f>
        <v>934</v>
      </c>
      <c r="BG183" s="185">
        <f>BG178-BG182</f>
        <v>815</v>
      </c>
      <c r="BH183" s="749">
        <f>BH178-BH182</f>
        <v>860</v>
      </c>
      <c r="BI183" s="199"/>
      <c r="BJ183" s="1009"/>
      <c r="BK183" s="199"/>
      <c r="BL183" s="199"/>
      <c r="BM183" s="199"/>
      <c r="BN183" s="199"/>
      <c r="BO183" s="1009"/>
      <c r="BP183" s="1009"/>
      <c r="BQ183" s="1009"/>
      <c r="BR183" s="1009"/>
      <c r="BS183" s="185"/>
    </row>
    <row r="184" spans="1:71" s="261" customFormat="1" ht="15" hidden="1" outlineLevel="1">
      <c r="A184" s="209" t="s">
        <v>380</v>
      </c>
      <c r="B184" s="469"/>
      <c r="C184" s="1033">
        <v>850</v>
      </c>
      <c r="D184" s="1033">
        <v>777</v>
      </c>
      <c r="E184" s="1033">
        <v>134</v>
      </c>
      <c r="F184" s="1033">
        <v>539</v>
      </c>
      <c r="G184" s="1033">
        <v>758</v>
      </c>
      <c r="H184" s="927">
        <v>257</v>
      </c>
      <c r="I184" s="927">
        <v>133</v>
      </c>
      <c r="J184" s="927">
        <v>175</v>
      </c>
      <c r="K184" s="927">
        <v>233</v>
      </c>
      <c r="L184" s="1033">
        <v>798</v>
      </c>
      <c r="M184" s="927">
        <v>175</v>
      </c>
      <c r="N184" s="927">
        <v>179</v>
      </c>
      <c r="O184" s="927">
        <v>202</v>
      </c>
      <c r="P184" s="927">
        <v>213</v>
      </c>
      <c r="Q184" s="1033">
        <v>769</v>
      </c>
      <c r="R184" s="927">
        <v>136</v>
      </c>
      <c r="S184" s="927">
        <v>119</v>
      </c>
      <c r="T184" s="927">
        <v>126</v>
      </c>
      <c r="U184" s="927">
        <v>275</v>
      </c>
      <c r="V184" s="1033">
        <v>656</v>
      </c>
      <c r="W184" s="927">
        <v>129</v>
      </c>
      <c r="X184" s="927">
        <v>140</v>
      </c>
      <c r="Y184" s="927">
        <v>-34</v>
      </c>
      <c r="Z184" s="927">
        <v>213</v>
      </c>
      <c r="AA184" s="1033">
        <v>448</v>
      </c>
      <c r="AB184" s="927">
        <v>70</v>
      </c>
      <c r="AC184" s="927">
        <v>77</v>
      </c>
      <c r="AD184" s="927">
        <v>40</v>
      </c>
      <c r="AE184" s="927">
        <v>72</v>
      </c>
      <c r="AF184" s="995">
        <f>SUM(AB184,AC184,AD184,AE184)</f>
        <v>259</v>
      </c>
      <c r="AG184" s="927">
        <v>75</v>
      </c>
      <c r="AH184" s="927">
        <v>64</v>
      </c>
      <c r="AI184" s="927">
        <v>-6</v>
      </c>
      <c r="AJ184" s="927">
        <v>90</v>
      </c>
      <c r="AK184" s="995">
        <f>SUM(AG184,AH184,AI184,AJ184)</f>
        <v>223</v>
      </c>
      <c r="AL184" s="927">
        <v>49</v>
      </c>
      <c r="AM184" s="927">
        <v>-41</v>
      </c>
      <c r="AN184" s="927">
        <v>39</v>
      </c>
      <c r="AO184" s="186">
        <f>AP184-SUM(AL184,AM184,AN184)</f>
        <v>166</v>
      </c>
      <c r="AP184" s="1033">
        <v>213</v>
      </c>
      <c r="AQ184" s="927">
        <v>55</v>
      </c>
      <c r="AR184" s="927">
        <v>137</v>
      </c>
      <c r="AS184" s="927">
        <v>106</v>
      </c>
      <c r="AT184" s="186">
        <f>AU184-SUM(AQ184,AR184,AS184)</f>
        <v>201</v>
      </c>
      <c r="AU184" s="1033">
        <v>499</v>
      </c>
      <c r="AV184" s="927">
        <v>140</v>
      </c>
      <c r="AW184" s="927">
        <v>148</v>
      </c>
      <c r="AX184" s="927">
        <v>89</v>
      </c>
      <c r="AY184" s="186">
        <f>AZ184-SUM(AV184,AW184,AX184)</f>
        <v>159</v>
      </c>
      <c r="AZ184" s="1033">
        <v>536</v>
      </c>
      <c r="BA184" s="927">
        <v>-43</v>
      </c>
      <c r="BB184" s="927">
        <v>83</v>
      </c>
      <c r="BC184" s="927">
        <v>101</v>
      </c>
      <c r="BD184" s="186">
        <f>BE184-SUM(BA184,BB184,BC184)</f>
        <v>227</v>
      </c>
      <c r="BE184" s="1033">
        <v>368</v>
      </c>
      <c r="BF184" s="927">
        <v>170</v>
      </c>
      <c r="BG184" s="927">
        <v>159</v>
      </c>
      <c r="BH184" s="928">
        <v>162</v>
      </c>
      <c r="BI184" s="205"/>
      <c r="BJ184" s="996"/>
      <c r="BK184" s="205"/>
      <c r="BL184" s="205"/>
      <c r="BM184" s="205"/>
      <c r="BN184" s="205"/>
      <c r="BO184" s="996"/>
      <c r="BP184" s="996"/>
      <c r="BQ184" s="996"/>
      <c r="BR184" s="996"/>
      <c r="BS184" s="265"/>
    </row>
    <row r="185" spans="1:71" s="45" customFormat="1" ht="15" hidden="1" outlineLevel="1">
      <c r="A185" s="197" t="s">
        <v>381</v>
      </c>
      <c r="B185" s="470"/>
      <c r="C185" s="1008">
        <f t="shared" si="511" ref="C185:AM185">C183-C184</f>
        <v>2590</v>
      </c>
      <c r="D185" s="1008">
        <f t="shared" si="511"/>
        <v>2301</v>
      </c>
      <c r="E185" s="1008">
        <f t="shared" si="511"/>
        <v>1354</v>
      </c>
      <c r="F185" s="1008">
        <f t="shared" si="511"/>
        <v>1843</v>
      </c>
      <c r="G185" s="1008">
        <f t="shared" si="511"/>
        <v>2404</v>
      </c>
      <c r="H185" s="185">
        <f t="shared" si="511"/>
        <v>694</v>
      </c>
      <c r="I185" s="185">
        <f t="shared" si="511"/>
        <v>471</v>
      </c>
      <c r="J185" s="185">
        <f t="shared" si="511"/>
        <v>552</v>
      </c>
      <c r="K185" s="185">
        <f t="shared" si="511"/>
        <v>630</v>
      </c>
      <c r="L185" s="1008">
        <f t="shared" si="511"/>
        <v>2347</v>
      </c>
      <c r="M185" s="185">
        <f t="shared" si="511"/>
        <v>515</v>
      </c>
      <c r="N185" s="185">
        <f t="shared" si="511"/>
        <v>543</v>
      </c>
      <c r="O185" s="185">
        <f t="shared" si="511"/>
        <v>546</v>
      </c>
      <c r="P185" s="185">
        <f t="shared" si="511"/>
        <v>566</v>
      </c>
      <c r="Q185" s="1008">
        <f t="shared" si="511"/>
        <v>2170</v>
      </c>
      <c r="R185" s="185">
        <f t="shared" si="511"/>
        <v>447</v>
      </c>
      <c r="S185" s="185">
        <f t="shared" si="511"/>
        <v>401</v>
      </c>
      <c r="T185" s="185">
        <f t="shared" si="511"/>
        <v>433</v>
      </c>
      <c r="U185" s="185">
        <f t="shared" si="511"/>
        <v>701</v>
      </c>
      <c r="V185" s="1008">
        <f t="shared" si="511"/>
        <v>1982</v>
      </c>
      <c r="W185" s="185">
        <f t="shared" si="511"/>
        <v>442</v>
      </c>
      <c r="X185" s="185">
        <f t="shared" si="511"/>
        <v>429</v>
      </c>
      <c r="Y185" s="185">
        <f t="shared" si="511"/>
        <v>105</v>
      </c>
      <c r="Z185" s="185">
        <f t="shared" si="511"/>
        <v>637</v>
      </c>
      <c r="AA185" s="1008">
        <f t="shared" si="511"/>
        <v>1613</v>
      </c>
      <c r="AB185" s="185">
        <f t="shared" si="511"/>
        <v>452</v>
      </c>
      <c r="AC185" s="185">
        <f t="shared" si="511"/>
        <v>385</v>
      </c>
      <c r="AD185" s="185">
        <f t="shared" si="511"/>
        <v>410</v>
      </c>
      <c r="AE185" s="185">
        <f t="shared" si="511"/>
        <v>391</v>
      </c>
      <c r="AF185" s="1008">
        <f t="shared" si="511"/>
        <v>1638</v>
      </c>
      <c r="AG185" s="185">
        <f t="shared" si="511"/>
        <v>414</v>
      </c>
      <c r="AH185" s="185">
        <f t="shared" si="511"/>
        <v>351</v>
      </c>
      <c r="AI185" s="185">
        <f t="shared" si="511"/>
        <v>179</v>
      </c>
      <c r="AJ185" s="185">
        <f t="shared" si="511"/>
        <v>448</v>
      </c>
      <c r="AK185" s="1008">
        <f t="shared" si="511"/>
        <v>1392</v>
      </c>
      <c r="AL185" s="185">
        <f t="shared" si="511"/>
        <v>289</v>
      </c>
      <c r="AM185" s="185">
        <f t="shared" si="511"/>
        <v>-58</v>
      </c>
      <c r="AN185" s="185">
        <f>AN183-AN184</f>
        <v>365</v>
      </c>
      <c r="AO185" s="185">
        <f t="shared" si="512" ref="AO185:AQ185">AO183-AO184</f>
        <v>713</v>
      </c>
      <c r="AP185" s="1008">
        <f t="shared" si="512"/>
        <v>1309</v>
      </c>
      <c r="AQ185" s="185">
        <f t="shared" si="512"/>
        <v>317</v>
      </c>
      <c r="AR185" s="185">
        <f t="shared" si="513" ref="AR185:AW185">AR183-AR184</f>
        <v>643</v>
      </c>
      <c r="AS185" s="185">
        <f t="shared" si="513"/>
        <v>558</v>
      </c>
      <c r="AT185" s="185">
        <f t="shared" si="513"/>
        <v>867</v>
      </c>
      <c r="AU185" s="1008">
        <f t="shared" si="513"/>
        <v>2385</v>
      </c>
      <c r="AV185" s="185">
        <f t="shared" si="513"/>
        <v>669</v>
      </c>
      <c r="AW185" s="185">
        <f t="shared" si="513"/>
        <v>666</v>
      </c>
      <c r="AX185" s="185">
        <f t="shared" si="514" ref="AX185:BC185">AX183-AX184</f>
        <v>471</v>
      </c>
      <c r="AY185" s="185">
        <f t="shared" si="514"/>
        <v>725</v>
      </c>
      <c r="AZ185" s="1008">
        <f t="shared" si="514"/>
        <v>2531</v>
      </c>
      <c r="BA185" s="185">
        <f t="shared" si="514"/>
        <v>756</v>
      </c>
      <c r="BB185" s="185">
        <f t="shared" si="514"/>
        <v>402</v>
      </c>
      <c r="BC185" s="185">
        <f t="shared" si="514"/>
        <v>468</v>
      </c>
      <c r="BD185" s="185">
        <f>BD183-BD184</f>
        <v>957</v>
      </c>
      <c r="BE185" s="1008">
        <f>BE183-BE184</f>
        <v>2583</v>
      </c>
      <c r="BF185" s="185">
        <f>BF183-BF184</f>
        <v>764</v>
      </c>
      <c r="BG185" s="185">
        <f>BG183-BG184</f>
        <v>656</v>
      </c>
      <c r="BH185" s="749">
        <f>BH183-BH184</f>
        <v>698</v>
      </c>
      <c r="BI185" s="199"/>
      <c r="BJ185" s="1009"/>
      <c r="BK185" s="199"/>
      <c r="BL185" s="199"/>
      <c r="BM185" s="199"/>
      <c r="BN185" s="199"/>
      <c r="BO185" s="1009"/>
      <c r="BP185" s="1009"/>
      <c r="BQ185" s="1009"/>
      <c r="BR185" s="1009"/>
      <c r="BS185" s="185"/>
    </row>
    <row r="186" spans="1:71" s="27" customFormat="1" ht="15" hidden="1" outlineLevel="1">
      <c r="A186" s="442"/>
      <c r="B186" s="434"/>
      <c r="C186" s="982"/>
      <c r="D186" s="982"/>
      <c r="E186" s="982"/>
      <c r="F186" s="982"/>
      <c r="G186" s="982"/>
      <c r="H186" s="435"/>
      <c r="I186" s="435"/>
      <c r="J186" s="435"/>
      <c r="K186" s="435"/>
      <c r="L186" s="982"/>
      <c r="M186" s="435"/>
      <c r="N186" s="435"/>
      <c r="O186" s="435"/>
      <c r="P186" s="435"/>
      <c r="Q186" s="982"/>
      <c r="R186" s="435"/>
      <c r="S186" s="435"/>
      <c r="T186" s="435"/>
      <c r="U186" s="435"/>
      <c r="V186" s="982"/>
      <c r="W186" s="435"/>
      <c r="X186" s="435"/>
      <c r="Y186" s="435"/>
      <c r="Z186" s="435"/>
      <c r="AA186" s="982"/>
      <c r="AB186" s="435"/>
      <c r="AC186" s="435"/>
      <c r="AD186" s="435"/>
      <c r="AE186" s="435"/>
      <c r="AF186" s="982"/>
      <c r="AG186" s="435"/>
      <c r="AH186" s="435"/>
      <c r="AI186" s="435"/>
      <c r="AJ186" s="435"/>
      <c r="AK186" s="982"/>
      <c r="AL186" s="435"/>
      <c r="AM186" s="435"/>
      <c r="AN186" s="435"/>
      <c r="AO186" s="435"/>
      <c r="AP186" s="982"/>
      <c r="AQ186" s="435"/>
      <c r="AR186" s="435"/>
      <c r="AS186" s="435"/>
      <c r="AT186" s="435"/>
      <c r="AU186" s="982"/>
      <c r="AV186" s="435"/>
      <c r="AW186" s="435"/>
      <c r="AX186" s="435"/>
      <c r="AY186" s="435"/>
      <c r="AZ186" s="982"/>
      <c r="BA186" s="435"/>
      <c r="BB186" s="435"/>
      <c r="BC186" s="435"/>
      <c r="BD186" s="435"/>
      <c r="BE186" s="982"/>
      <c r="BF186" s="435"/>
      <c r="BG186" s="435"/>
      <c r="BH186" s="751"/>
      <c r="BI186" s="435"/>
      <c r="BJ186" s="982"/>
      <c r="BK186" s="435"/>
      <c r="BL186" s="435"/>
      <c r="BM186" s="435"/>
      <c r="BN186" s="435"/>
      <c r="BO186" s="982"/>
      <c r="BP186" s="982"/>
      <c r="BQ186" s="982"/>
      <c r="BR186" s="982"/>
      <c r="BS186" s="71"/>
    </row>
    <row r="187" spans="1:71" s="261" customFormat="1" ht="15" hidden="1" outlineLevel="1">
      <c r="A187" s="264" t="s">
        <v>383</v>
      </c>
      <c r="B187" s="468"/>
      <c r="C187" s="1032">
        <v>977</v>
      </c>
      <c r="D187" s="1032">
        <v>536</v>
      </c>
      <c r="E187" s="1032">
        <v>-323</v>
      </c>
      <c r="F187" s="1032">
        <v>141</v>
      </c>
      <c r="G187" s="1032">
        <v>621</v>
      </c>
      <c r="H187" s="924">
        <v>236</v>
      </c>
      <c r="I187" s="924">
        <v>37</v>
      </c>
      <c r="J187" s="924">
        <v>104</v>
      </c>
      <c r="K187" s="924">
        <v>227</v>
      </c>
      <c r="L187" s="1032">
        <v>604</v>
      </c>
      <c r="M187" s="924">
        <v>142</v>
      </c>
      <c r="N187" s="924">
        <v>155</v>
      </c>
      <c r="O187" s="924">
        <v>172</v>
      </c>
      <c r="P187" s="924">
        <v>227</v>
      </c>
      <c r="Q187" s="1032">
        <v>696</v>
      </c>
      <c r="R187" s="924">
        <v>107</v>
      </c>
      <c r="S187" s="924">
        <v>69</v>
      </c>
      <c r="T187" s="924">
        <v>82</v>
      </c>
      <c r="U187" s="924">
        <v>257</v>
      </c>
      <c r="V187" s="1032">
        <v>515</v>
      </c>
      <c r="W187" s="924">
        <v>83</v>
      </c>
      <c r="X187" s="924">
        <v>69</v>
      </c>
      <c r="Y187" s="924">
        <v>-233</v>
      </c>
      <c r="Z187" s="924">
        <v>288</v>
      </c>
      <c r="AA187" s="1032">
        <v>207</v>
      </c>
      <c r="AB187" s="924">
        <v>70</v>
      </c>
      <c r="AC187" s="924">
        <v>19</v>
      </c>
      <c r="AD187" s="924">
        <v>2</v>
      </c>
      <c r="AE187" s="924">
        <v>3</v>
      </c>
      <c r="AF187" s="993">
        <f>SUM(AB187,AC187,AD187,AE187)</f>
        <v>94</v>
      </c>
      <c r="AG187" s="924">
        <v>44</v>
      </c>
      <c r="AH187" s="924">
        <v>-48</v>
      </c>
      <c r="AI187" s="924">
        <v>-210</v>
      </c>
      <c r="AJ187" s="924">
        <v>65</v>
      </c>
      <c r="AK187" s="993">
        <f>SUM(AG187,AH187,AI187,AJ187)</f>
        <v>-149</v>
      </c>
      <c r="AL187" s="924">
        <v>-84</v>
      </c>
      <c r="AM187" s="924">
        <v>-221</v>
      </c>
      <c r="AN187" s="924">
        <v>-59</v>
      </c>
      <c r="AO187" s="265">
        <f>AP187-SUM(AL187,AM187,AN187)</f>
        <v>292</v>
      </c>
      <c r="AP187" s="1032">
        <v>-72</v>
      </c>
      <c r="AQ187" s="924">
        <v>-116</v>
      </c>
      <c r="AR187" s="924">
        <v>137</v>
      </c>
      <c r="AS187" s="924">
        <v>80</v>
      </c>
      <c r="AT187" s="265">
        <f>AU187-SUM(AQ187,AR187,AS187)</f>
        <v>412</v>
      </c>
      <c r="AU187" s="1032">
        <v>513</v>
      </c>
      <c r="AV187" s="924">
        <v>291</v>
      </c>
      <c r="AW187" s="924">
        <v>220</v>
      </c>
      <c r="AX187" s="924">
        <v>117</v>
      </c>
      <c r="AY187" s="265">
        <f>AZ187-SUM(AV187,AW187,AX187)</f>
        <v>361</v>
      </c>
      <c r="AZ187" s="1032">
        <v>989</v>
      </c>
      <c r="BA187" s="924">
        <v>388</v>
      </c>
      <c r="BB187" s="924">
        <v>-12</v>
      </c>
      <c r="BC187" s="924">
        <v>22</v>
      </c>
      <c r="BD187" s="265">
        <f>BE187-SUM(BA187,BB187,BC187)</f>
        <v>531</v>
      </c>
      <c r="BE187" s="1032">
        <v>929</v>
      </c>
      <c r="BF187" s="924">
        <v>274</v>
      </c>
      <c r="BG187" s="924">
        <v>148</v>
      </c>
      <c r="BH187" s="925">
        <v>176</v>
      </c>
      <c r="BI187" s="210"/>
      <c r="BJ187" s="994"/>
      <c r="BK187" s="210"/>
      <c r="BL187" s="210"/>
      <c r="BM187" s="210"/>
      <c r="BN187" s="210"/>
      <c r="BO187" s="994"/>
      <c r="BP187" s="994"/>
      <c r="BQ187" s="994"/>
      <c r="BR187" s="994"/>
      <c r="BS187" s="265"/>
    </row>
    <row r="188" spans="1:71" s="261" customFormat="1" ht="15" hidden="1" outlineLevel="1">
      <c r="A188" s="264" t="s">
        <v>382</v>
      </c>
      <c r="B188" s="468"/>
      <c r="C188" s="1032">
        <v>1581</v>
      </c>
      <c r="D188" s="1032">
        <v>1744</v>
      </c>
      <c r="E188" s="1032">
        <v>1655</v>
      </c>
      <c r="F188" s="1032">
        <v>1674</v>
      </c>
      <c r="G188" s="1032">
        <v>1677</v>
      </c>
      <c r="H188" s="924">
        <v>450</v>
      </c>
      <c r="I188" s="924">
        <v>427</v>
      </c>
      <c r="J188" s="924">
        <v>440</v>
      </c>
      <c r="K188" s="924">
        <v>394</v>
      </c>
      <c r="L188" s="1032">
        <v>1711</v>
      </c>
      <c r="M188" s="924">
        <v>366</v>
      </c>
      <c r="N188" s="924">
        <v>386</v>
      </c>
      <c r="O188" s="924">
        <v>371</v>
      </c>
      <c r="P188" s="924">
        <v>334</v>
      </c>
      <c r="Q188" s="1032">
        <v>1457</v>
      </c>
      <c r="R188" s="924">
        <v>321</v>
      </c>
      <c r="S188" s="924">
        <v>325</v>
      </c>
      <c r="T188" s="924">
        <v>346</v>
      </c>
      <c r="U188" s="924">
        <v>364</v>
      </c>
      <c r="V188" s="1032">
        <v>1356</v>
      </c>
      <c r="W188" s="924">
        <v>353</v>
      </c>
      <c r="X188" s="924">
        <v>348</v>
      </c>
      <c r="Y188" s="924">
        <v>338</v>
      </c>
      <c r="Z188" s="924">
        <v>348</v>
      </c>
      <c r="AA188" s="1032">
        <v>1387</v>
      </c>
      <c r="AB188" s="924">
        <v>380</v>
      </c>
      <c r="AC188" s="924">
        <v>376</v>
      </c>
      <c r="AD188" s="924">
        <v>408</v>
      </c>
      <c r="AE188" s="924">
        <v>395</v>
      </c>
      <c r="AF188" s="993">
        <f>SUM(AB188,AC188,AD188,AE188)</f>
        <v>1559</v>
      </c>
      <c r="AG188" s="924">
        <v>365</v>
      </c>
      <c r="AH188" s="924">
        <v>407</v>
      </c>
      <c r="AI188" s="924">
        <v>389</v>
      </c>
      <c r="AJ188" s="924">
        <v>384</v>
      </c>
      <c r="AK188" s="993">
        <f>SUM(AG188,AH188,AI188,AJ188)</f>
        <v>1545</v>
      </c>
      <c r="AL188" s="924">
        <v>385</v>
      </c>
      <c r="AM188" s="924">
        <v>169</v>
      </c>
      <c r="AN188" s="924">
        <v>421</v>
      </c>
      <c r="AO188" s="265">
        <f>AP188-SUM(AL188,AM188,AN188)</f>
        <v>423</v>
      </c>
      <c r="AP188" s="1032">
        <v>1398</v>
      </c>
      <c r="AQ188" s="924">
        <v>441</v>
      </c>
      <c r="AR188" s="924">
        <v>511</v>
      </c>
      <c r="AS188" s="924">
        <v>481</v>
      </c>
      <c r="AT188" s="265">
        <f>AU188-SUM(AQ188,AR188,AS188)</f>
        <v>464</v>
      </c>
      <c r="AU188" s="1032">
        <v>1897</v>
      </c>
      <c r="AV188" s="924">
        <v>396</v>
      </c>
      <c r="AW188" s="924">
        <v>439</v>
      </c>
      <c r="AX188" s="924">
        <v>364</v>
      </c>
      <c r="AY188" s="265">
        <f>AZ188-SUM(AV188,AW188,AX188)</f>
        <v>382</v>
      </c>
      <c r="AZ188" s="1032">
        <v>1581</v>
      </c>
      <c r="BA188" s="924">
        <v>398</v>
      </c>
      <c r="BB188" s="924">
        <v>426</v>
      </c>
      <c r="BC188" s="924">
        <v>458</v>
      </c>
      <c r="BD188" s="265">
        <f>BE188-SUM(BA188,BB188,BC188)</f>
        <v>459</v>
      </c>
      <c r="BE188" s="1032">
        <v>1741</v>
      </c>
      <c r="BF188" s="924">
        <v>502</v>
      </c>
      <c r="BG188" s="924">
        <v>521</v>
      </c>
      <c r="BH188" s="925">
        <v>528</v>
      </c>
      <c r="BI188" s="210"/>
      <c r="BJ188" s="994"/>
      <c r="BK188" s="210"/>
      <c r="BL188" s="210"/>
      <c r="BM188" s="210"/>
      <c r="BN188" s="210"/>
      <c r="BO188" s="994"/>
      <c r="BP188" s="994"/>
      <c r="BQ188" s="994"/>
      <c r="BR188" s="994"/>
      <c r="BS188" s="265"/>
    </row>
    <row r="189" spans="1:71" s="261" customFormat="1" ht="15" hidden="1" outlineLevel="1">
      <c r="A189" s="209" t="s">
        <v>384</v>
      </c>
      <c r="B189" s="469"/>
      <c r="C189" s="1033">
        <v>32</v>
      </c>
      <c r="D189" s="1033">
        <v>21</v>
      </c>
      <c r="E189" s="1033">
        <v>22</v>
      </c>
      <c r="F189" s="1033">
        <v>28</v>
      </c>
      <c r="G189" s="1033">
        <v>106</v>
      </c>
      <c r="H189" s="927">
        <v>8</v>
      </c>
      <c r="I189" s="927">
        <v>7</v>
      </c>
      <c r="J189" s="927">
        <v>8</v>
      </c>
      <c r="K189" s="927">
        <v>9</v>
      </c>
      <c r="L189" s="1033">
        <v>32</v>
      </c>
      <c r="M189" s="927">
        <v>7</v>
      </c>
      <c r="N189" s="927">
        <v>2</v>
      </c>
      <c r="O189" s="927">
        <v>3</v>
      </c>
      <c r="P189" s="927">
        <v>5</v>
      </c>
      <c r="Q189" s="1033">
        <v>17</v>
      </c>
      <c r="R189" s="927">
        <v>19</v>
      </c>
      <c r="S189" s="927">
        <v>7</v>
      </c>
      <c r="T189" s="927">
        <v>5</v>
      </c>
      <c r="U189" s="927">
        <v>80</v>
      </c>
      <c r="V189" s="1033">
        <v>111</v>
      </c>
      <c r="W189" s="927">
        <v>6</v>
      </c>
      <c r="X189" s="927">
        <v>12</v>
      </c>
      <c r="Y189" s="927">
        <v>0</v>
      </c>
      <c r="Z189" s="927">
        <v>1</v>
      </c>
      <c r="AA189" s="1033">
        <v>19</v>
      </c>
      <c r="AB189" s="927">
        <v>2</v>
      </c>
      <c r="AC189" s="927">
        <v>-10</v>
      </c>
      <c r="AD189" s="927">
        <v>0</v>
      </c>
      <c r="AE189" s="927">
        <v>-7</v>
      </c>
      <c r="AF189" s="995">
        <f>SUM(AB189,AC189,AD189,AE189)</f>
        <v>-15</v>
      </c>
      <c r="AG189" s="927">
        <v>5</v>
      </c>
      <c r="AH189" s="927">
        <v>-8</v>
      </c>
      <c r="AI189" s="927">
        <v>0</v>
      </c>
      <c r="AJ189" s="927">
        <v>-1</v>
      </c>
      <c r="AK189" s="995">
        <f>SUM(AG189,AH189,AI189,AJ189)</f>
        <v>-4</v>
      </c>
      <c r="AL189" s="927">
        <v>-12</v>
      </c>
      <c r="AM189" s="927">
        <v>-6</v>
      </c>
      <c r="AN189" s="927">
        <v>3</v>
      </c>
      <c r="AO189" s="186">
        <f>AP189-SUM(AL189,AM189,AN189)</f>
        <v>-2</v>
      </c>
      <c r="AP189" s="1033">
        <v>-17</v>
      </c>
      <c r="AQ189" s="927">
        <v>-8</v>
      </c>
      <c r="AR189" s="927">
        <v>-5</v>
      </c>
      <c r="AS189" s="927">
        <v>-3</v>
      </c>
      <c r="AT189" s="186">
        <f>AU189-SUM(AQ189,AR189,AS189)</f>
        <v>-9</v>
      </c>
      <c r="AU189" s="1033">
        <v>-25</v>
      </c>
      <c r="AV189" s="927">
        <v>-18</v>
      </c>
      <c r="AW189" s="927">
        <v>7</v>
      </c>
      <c r="AX189" s="927">
        <v>-10</v>
      </c>
      <c r="AY189" s="186">
        <f>AZ189-SUM(AV189,AW189,AX189)</f>
        <v>-18</v>
      </c>
      <c r="AZ189" s="1033">
        <v>-39</v>
      </c>
      <c r="BA189" s="927">
        <v>-30</v>
      </c>
      <c r="BB189" s="927">
        <v>-12</v>
      </c>
      <c r="BC189" s="927">
        <v>-12</v>
      </c>
      <c r="BD189" s="186">
        <f>BE189-SUM(BA189,BB189,BC189)</f>
        <v>-33</v>
      </c>
      <c r="BE189" s="1033">
        <v>-87</v>
      </c>
      <c r="BF189" s="927">
        <v>-12</v>
      </c>
      <c r="BG189" s="927">
        <v>-13</v>
      </c>
      <c r="BH189" s="928">
        <v>-6</v>
      </c>
      <c r="BI189" s="205"/>
      <c r="BJ189" s="996"/>
      <c r="BK189" s="205"/>
      <c r="BL189" s="205"/>
      <c r="BM189" s="205"/>
      <c r="BN189" s="205"/>
      <c r="BO189" s="996"/>
      <c r="BP189" s="996"/>
      <c r="BQ189" s="996"/>
      <c r="BR189" s="996"/>
      <c r="BS189" s="265"/>
    </row>
    <row r="190" spans="1:71" s="45" customFormat="1" ht="15" hidden="1" outlineLevel="1">
      <c r="A190" s="197" t="s">
        <v>381</v>
      </c>
      <c r="B190" s="470"/>
      <c r="C190" s="1008">
        <f t="shared" si="515" ref="C190:AM190">SUM(C187:C189)</f>
        <v>2590</v>
      </c>
      <c r="D190" s="1008">
        <f t="shared" si="515"/>
        <v>2301</v>
      </c>
      <c r="E190" s="1008">
        <f t="shared" si="515"/>
        <v>1354</v>
      </c>
      <c r="F190" s="1008">
        <f t="shared" si="515"/>
        <v>1843</v>
      </c>
      <c r="G190" s="1008">
        <f t="shared" si="515"/>
        <v>2404</v>
      </c>
      <c r="H190" s="185">
        <f t="shared" si="515"/>
        <v>694</v>
      </c>
      <c r="I190" s="185">
        <f t="shared" si="515"/>
        <v>471</v>
      </c>
      <c r="J190" s="185">
        <f t="shared" si="515"/>
        <v>552</v>
      </c>
      <c r="K190" s="185">
        <f t="shared" si="515"/>
        <v>630</v>
      </c>
      <c r="L190" s="1008">
        <f t="shared" si="515"/>
        <v>2347</v>
      </c>
      <c r="M190" s="185">
        <f t="shared" si="515"/>
        <v>515</v>
      </c>
      <c r="N190" s="185">
        <f t="shared" si="515"/>
        <v>543</v>
      </c>
      <c r="O190" s="185">
        <f t="shared" si="515"/>
        <v>546</v>
      </c>
      <c r="P190" s="185">
        <f t="shared" si="515"/>
        <v>566</v>
      </c>
      <c r="Q190" s="1008">
        <f t="shared" si="515"/>
        <v>2170</v>
      </c>
      <c r="R190" s="185">
        <f t="shared" si="515"/>
        <v>447</v>
      </c>
      <c r="S190" s="185">
        <f t="shared" si="515"/>
        <v>401</v>
      </c>
      <c r="T190" s="185">
        <f t="shared" si="515"/>
        <v>433</v>
      </c>
      <c r="U190" s="185">
        <f t="shared" si="515"/>
        <v>701</v>
      </c>
      <c r="V190" s="1008">
        <f t="shared" si="515"/>
        <v>1982</v>
      </c>
      <c r="W190" s="185">
        <f t="shared" si="515"/>
        <v>442</v>
      </c>
      <c r="X190" s="185">
        <f t="shared" si="515"/>
        <v>429</v>
      </c>
      <c r="Y190" s="185">
        <f t="shared" si="515"/>
        <v>105</v>
      </c>
      <c r="Z190" s="185">
        <f t="shared" si="515"/>
        <v>637</v>
      </c>
      <c r="AA190" s="1008">
        <f t="shared" si="515"/>
        <v>1613</v>
      </c>
      <c r="AB190" s="185">
        <f t="shared" si="515"/>
        <v>452</v>
      </c>
      <c r="AC190" s="185">
        <f t="shared" si="515"/>
        <v>385</v>
      </c>
      <c r="AD190" s="185">
        <f t="shared" si="515"/>
        <v>410</v>
      </c>
      <c r="AE190" s="185">
        <f t="shared" si="515"/>
        <v>391</v>
      </c>
      <c r="AF190" s="1008">
        <f t="shared" si="515"/>
        <v>1638</v>
      </c>
      <c r="AG190" s="185">
        <f t="shared" si="515"/>
        <v>414</v>
      </c>
      <c r="AH190" s="185">
        <f t="shared" si="515"/>
        <v>351</v>
      </c>
      <c r="AI190" s="185">
        <f t="shared" si="515"/>
        <v>179</v>
      </c>
      <c r="AJ190" s="185">
        <f t="shared" si="515"/>
        <v>448</v>
      </c>
      <c r="AK190" s="1008">
        <f t="shared" si="515"/>
        <v>1392</v>
      </c>
      <c r="AL190" s="185">
        <f t="shared" si="515"/>
        <v>289</v>
      </c>
      <c r="AM190" s="185">
        <f t="shared" si="515"/>
        <v>-58</v>
      </c>
      <c r="AN190" s="185">
        <f>SUM(AN187:AN189)</f>
        <v>365</v>
      </c>
      <c r="AO190" s="185">
        <f t="shared" si="516" ref="AO190:AQ190">SUM(AO187:AO189)</f>
        <v>713</v>
      </c>
      <c r="AP190" s="1008">
        <f t="shared" si="516"/>
        <v>1309</v>
      </c>
      <c r="AQ190" s="185">
        <f t="shared" si="516"/>
        <v>317</v>
      </c>
      <c r="AR190" s="185">
        <f t="shared" si="517" ref="AR190:AW190">SUM(AR187:AR189)</f>
        <v>643</v>
      </c>
      <c r="AS190" s="185">
        <f t="shared" si="517"/>
        <v>558</v>
      </c>
      <c r="AT190" s="185">
        <f t="shared" si="517"/>
        <v>867</v>
      </c>
      <c r="AU190" s="1008">
        <f t="shared" si="517"/>
        <v>2385</v>
      </c>
      <c r="AV190" s="185">
        <f t="shared" si="517"/>
        <v>669</v>
      </c>
      <c r="AW190" s="185">
        <f t="shared" si="517"/>
        <v>666</v>
      </c>
      <c r="AX190" s="185">
        <f t="shared" si="518" ref="AX190:BC190">SUM(AX187:AX189)</f>
        <v>471</v>
      </c>
      <c r="AY190" s="185">
        <f t="shared" si="518"/>
        <v>725</v>
      </c>
      <c r="AZ190" s="1008">
        <f t="shared" si="518"/>
        <v>2531</v>
      </c>
      <c r="BA190" s="185">
        <f t="shared" si="518"/>
        <v>756</v>
      </c>
      <c r="BB190" s="185">
        <f t="shared" si="518"/>
        <v>402</v>
      </c>
      <c r="BC190" s="185">
        <f t="shared" si="518"/>
        <v>468</v>
      </c>
      <c r="BD190" s="185">
        <f>SUM(BD187:BD189)</f>
        <v>957</v>
      </c>
      <c r="BE190" s="1008">
        <f>SUM(BE187:BE189)</f>
        <v>2583</v>
      </c>
      <c r="BF190" s="185">
        <f>SUM(BF187:BF189)</f>
        <v>764</v>
      </c>
      <c r="BG190" s="185">
        <f>SUM(BG187:BG189)</f>
        <v>656</v>
      </c>
      <c r="BH190" s="749">
        <f>SUM(BH187:BH189)</f>
        <v>698</v>
      </c>
      <c r="BI190" s="199"/>
      <c r="BJ190" s="1009"/>
      <c r="BK190" s="199"/>
      <c r="BL190" s="199"/>
      <c r="BM190" s="199"/>
      <c r="BN190" s="199"/>
      <c r="BO190" s="1009"/>
      <c r="BP190" s="1009"/>
      <c r="BQ190" s="1009"/>
      <c r="BR190" s="1009"/>
      <c r="BS190" s="185"/>
    </row>
    <row r="191" spans="1:71" s="24" customFormat="1" ht="15" hidden="1" outlineLevel="1">
      <c r="A191" s="449"/>
      <c r="B191" s="445"/>
      <c r="C191" s="1011"/>
      <c r="D191" s="1011"/>
      <c r="E191" s="1011"/>
      <c r="F191" s="1011"/>
      <c r="G191" s="1011"/>
      <c r="H191" s="857"/>
      <c r="I191" s="857"/>
      <c r="J191" s="857"/>
      <c r="K191" s="857"/>
      <c r="L191" s="1011"/>
      <c r="M191" s="857"/>
      <c r="N191" s="857"/>
      <c r="O191" s="857"/>
      <c r="P191" s="857"/>
      <c r="Q191" s="1011"/>
      <c r="R191" s="857"/>
      <c r="S191" s="857"/>
      <c r="T191" s="857"/>
      <c r="U191" s="857"/>
      <c r="V191" s="1011"/>
      <c r="W191" s="857"/>
      <c r="X191" s="857"/>
      <c r="Y191" s="857"/>
      <c r="Z191" s="857"/>
      <c r="AA191" s="1011"/>
      <c r="AB191" s="857"/>
      <c r="AC191" s="857"/>
      <c r="AD191" s="857"/>
      <c r="AE191" s="857"/>
      <c r="AF191" s="1011"/>
      <c r="AG191" s="857"/>
      <c r="AH191" s="857"/>
      <c r="AI191" s="857"/>
      <c r="AJ191" s="857"/>
      <c r="AK191" s="1011"/>
      <c r="AL191" s="857"/>
      <c r="AM191" s="857"/>
      <c r="AN191" s="857"/>
      <c r="AO191" s="857"/>
      <c r="AP191" s="1011"/>
      <c r="AQ191" s="857"/>
      <c r="AR191" s="857"/>
      <c r="AS191" s="857"/>
      <c r="AT191" s="857"/>
      <c r="AU191" s="1011"/>
      <c r="AV191" s="857"/>
      <c r="AW191" s="857"/>
      <c r="AX191" s="857"/>
      <c r="AY191" s="857"/>
      <c r="AZ191" s="1011"/>
      <c r="BA191" s="857"/>
      <c r="BB191" s="857"/>
      <c r="BC191" s="857"/>
      <c r="BD191" s="857"/>
      <c r="BE191" s="1011"/>
      <c r="BF191" s="857"/>
      <c r="BG191" s="857"/>
      <c r="BH191" s="858"/>
      <c r="BI191" s="857"/>
      <c r="BJ191" s="1011"/>
      <c r="BK191" s="857"/>
      <c r="BL191" s="857"/>
      <c r="BM191" s="857"/>
      <c r="BN191" s="857"/>
      <c r="BO191" s="1011"/>
      <c r="BP191" s="1011"/>
      <c r="BQ191" s="1011"/>
      <c r="BR191" s="1011"/>
      <c r="BS191" s="833"/>
    </row>
    <row r="192" spans="1:71" s="27" customFormat="1" ht="15" hidden="1" outlineLevel="1">
      <c r="A192" s="41" t="s">
        <v>385</v>
      </c>
      <c r="B192" s="434"/>
      <c r="C192" s="984">
        <v>0.53900000000000003</v>
      </c>
      <c r="D192" s="984">
        <v>0.59099999999999997</v>
      </c>
      <c r="E192" s="984">
        <v>0.73099999999999998</v>
      </c>
      <c r="F192" s="984">
        <v>0.65900000000000003</v>
      </c>
      <c r="G192" s="984">
        <v>0.60799999999999998</v>
      </c>
      <c r="H192" s="907">
        <v>0.59799999999999998</v>
      </c>
      <c r="I192" s="907">
        <v>0.66200000000000003</v>
      </c>
      <c r="J192" s="907">
        <v>0.63100000000000001</v>
      </c>
      <c r="K192" s="907">
        <v>0.57399999999999995</v>
      </c>
      <c r="L192" s="984">
        <v>0.61599999999999999</v>
      </c>
      <c r="M192" s="907">
        <v>0.61199999999999999</v>
      </c>
      <c r="N192" s="907">
        <v>0.60599999999999998</v>
      </c>
      <c r="O192" s="907">
        <v>0.59599999999999997</v>
      </c>
      <c r="P192" s="907">
        <v>0.56999999999999995</v>
      </c>
      <c r="Q192" s="984">
        <v>0.59599999999999997</v>
      </c>
      <c r="R192" s="907">
        <v>0.63300000000000001</v>
      </c>
      <c r="S192" s="907">
        <v>0.63700000000000001</v>
      </c>
      <c r="T192" s="907">
        <v>0.635</v>
      </c>
      <c r="U192" s="907">
        <v>0.56399999999999995</v>
      </c>
      <c r="V192" s="984">
        <v>0.61699999999999999</v>
      </c>
      <c r="W192" s="907">
        <v>0.645</v>
      </c>
      <c r="X192" s="907">
        <v>0.64300000000000002</v>
      </c>
      <c r="Y192" s="907">
        <v>0.78100000000000003</v>
      </c>
      <c r="Z192" s="907">
        <v>0.56499999999999995</v>
      </c>
      <c r="AA192" s="984">
        <v>0.65900000000000003</v>
      </c>
      <c r="AB192" s="907">
        <v>0.65700000000000003</v>
      </c>
      <c r="AC192" s="907">
        <v>0.66900000000000004</v>
      </c>
      <c r="AD192" s="907">
        <v>0.69599999999999995</v>
      </c>
      <c r="AE192" s="907">
        <v>0.68700000000000006</v>
      </c>
      <c r="AF192" s="984">
        <v>0.67800000000000005</v>
      </c>
      <c r="AG192" s="907">
        <v>0.67600000000000005</v>
      </c>
      <c r="AH192" s="907">
        <v>0.69599999999999995</v>
      </c>
      <c r="AI192" s="907">
        <v>0.76600000000000001</v>
      </c>
      <c r="AJ192" s="907">
        <v>0.67300000000000004</v>
      </c>
      <c r="AK192" s="984">
        <v>0.70299999999999996</v>
      </c>
      <c r="AL192" s="907">
        <v>0.70899999999999996</v>
      </c>
      <c r="AM192" s="907">
        <v>0.75800000000000001</v>
      </c>
      <c r="AN192" s="907">
        <v>0.71799999999999997</v>
      </c>
      <c r="AO192" s="907">
        <v>0.59199999999999997</v>
      </c>
      <c r="AP192" s="984">
        <v>0.69399999999999995</v>
      </c>
      <c r="AQ192" s="907">
        <v>0.72199999999999998</v>
      </c>
      <c r="AR192" s="907">
        <v>0.64300000000000002</v>
      </c>
      <c r="AS192" s="907">
        <v>0.67</v>
      </c>
      <c r="AT192" s="907">
        <v>0.56899999999999995</v>
      </c>
      <c r="AU192" s="984">
        <v>0.65</v>
      </c>
      <c r="AV192" s="907">
        <v>0.60699999999999998</v>
      </c>
      <c r="AW192" s="907">
        <v>0.63</v>
      </c>
      <c r="AX192" s="907">
        <v>0.66900000000000004</v>
      </c>
      <c r="AY192" s="907">
        <v>0.60399999999999998</v>
      </c>
      <c r="AZ192" s="984">
        <v>0.628</v>
      </c>
      <c r="BA192" s="907">
        <v>0.63800000000000001</v>
      </c>
      <c r="BB192" s="907">
        <v>0.70</v>
      </c>
      <c r="BC192" s="907">
        <v>0.70</v>
      </c>
      <c r="BD192" s="907">
        <v>0.57699999999999996</v>
      </c>
      <c r="BE192" s="984">
        <v>0.65300000000000002</v>
      </c>
      <c r="BF192" s="907">
        <v>0.63600000000000001</v>
      </c>
      <c r="BG192" s="907">
        <v>0.66200000000000003</v>
      </c>
      <c r="BH192" s="929">
        <v>0.66600000000000004</v>
      </c>
      <c r="BI192" s="435"/>
      <c r="BJ192" s="982"/>
      <c r="BK192" s="435"/>
      <c r="BL192" s="435"/>
      <c r="BM192" s="435"/>
      <c r="BN192" s="435"/>
      <c r="BO192" s="982"/>
      <c r="BP192" s="982"/>
      <c r="BQ192" s="982"/>
      <c r="BR192" s="982"/>
      <c r="BS192" s="71"/>
    </row>
    <row r="193" spans="1:71" s="27" customFormat="1" ht="15" hidden="1" outlineLevel="1">
      <c r="A193" s="328" t="s">
        <v>386</v>
      </c>
      <c r="B193" s="436"/>
      <c r="C193" s="987">
        <v>0.32200000000000001</v>
      </c>
      <c r="D193" s="987">
        <v>0.32200000000000001</v>
      </c>
      <c r="E193" s="987">
        <v>0.316</v>
      </c>
      <c r="F193" s="987">
        <v>0.315</v>
      </c>
      <c r="G193" s="987">
        <v>0.32</v>
      </c>
      <c r="H193" s="909">
        <v>0.29399999999999998</v>
      </c>
      <c r="I193" s="909">
        <v>0.31900000000000001</v>
      </c>
      <c r="J193" s="909">
        <v>0.32100000000000001</v>
      </c>
      <c r="K193" s="909">
        <v>0.32400000000000001</v>
      </c>
      <c r="L193" s="987">
        <v>0.315</v>
      </c>
      <c r="M193" s="909">
        <v>0.32100000000000001</v>
      </c>
      <c r="N193" s="909">
        <v>0.32600000000000001</v>
      </c>
      <c r="O193" s="909">
        <v>0.32600000000000001</v>
      </c>
      <c r="P193" s="909">
        <v>0.32600000000000001</v>
      </c>
      <c r="Q193" s="987">
        <v>0.325</v>
      </c>
      <c r="R193" s="909">
        <v>0.318</v>
      </c>
      <c r="S193" s="909">
        <v>0.32800000000000001</v>
      </c>
      <c r="T193" s="909">
        <v>0.32600000000000001</v>
      </c>
      <c r="U193" s="909">
        <v>0.32200000000000001</v>
      </c>
      <c r="V193" s="987">
        <v>0.32400000000000001</v>
      </c>
      <c r="W193" s="909">
        <v>0.31900000000000001</v>
      </c>
      <c r="X193" s="909">
        <v>0.32200000000000001</v>
      </c>
      <c r="Y193" s="909">
        <v>0.317</v>
      </c>
      <c r="Z193" s="909">
        <v>0.32100000000000001</v>
      </c>
      <c r="AA193" s="987">
        <v>0.31900000000000001</v>
      </c>
      <c r="AB193" s="909">
        <v>0.318</v>
      </c>
      <c r="AC193" s="909">
        <v>0.31900000000000001</v>
      </c>
      <c r="AD193" s="909">
        <v>0.31</v>
      </c>
      <c r="AE193" s="909">
        <v>0.307</v>
      </c>
      <c r="AF193" s="987">
        <v>0.313</v>
      </c>
      <c r="AG193" s="909">
        <v>0.305</v>
      </c>
      <c r="AH193" s="909">
        <v>0.315</v>
      </c>
      <c r="AI193" s="909">
        <v>0.30399999999999999</v>
      </c>
      <c r="AJ193" s="909">
        <v>0.30199999999999999</v>
      </c>
      <c r="AK193" s="987">
        <v>0.30599999999999999</v>
      </c>
      <c r="AL193" s="909">
        <v>0.313</v>
      </c>
      <c r="AM193" s="909">
        <v>0.313</v>
      </c>
      <c r="AN193" s="909">
        <v>0.305</v>
      </c>
      <c r="AO193" s="909">
        <v>0.30599999999999999</v>
      </c>
      <c r="AP193" s="987">
        <v>0.309</v>
      </c>
      <c r="AQ193" s="909">
        <v>0.313</v>
      </c>
      <c r="AR193" s="909">
        <v>0.31</v>
      </c>
      <c r="AS193" s="909">
        <v>0.305</v>
      </c>
      <c r="AT193" s="909">
        <v>0.30099999999999999</v>
      </c>
      <c r="AU193" s="987">
        <v>0.307</v>
      </c>
      <c r="AV193" s="909">
        <v>0.30199999999999999</v>
      </c>
      <c r="AW193" s="909">
        <v>0.30199999999999999</v>
      </c>
      <c r="AX193" s="909">
        <v>0.29399999999999998</v>
      </c>
      <c r="AY193" s="909">
        <v>0.29099999999999998</v>
      </c>
      <c r="AZ193" s="987">
        <v>0.29699999999999999</v>
      </c>
      <c r="BA193" s="909">
        <v>0.29799999999999999</v>
      </c>
      <c r="BB193" s="909">
        <v>0.30099999999999999</v>
      </c>
      <c r="BC193" s="909">
        <v>0.29099999999999998</v>
      </c>
      <c r="BD193" s="909">
        <v>0.28799999999999998</v>
      </c>
      <c r="BE193" s="987">
        <v>0.29399999999999998</v>
      </c>
      <c r="BF193" s="909">
        <v>0.29699999999999999</v>
      </c>
      <c r="BG193" s="909">
        <v>0.29899999999999999</v>
      </c>
      <c r="BH193" s="930">
        <v>0.29199999999999998</v>
      </c>
      <c r="BI193" s="437"/>
      <c r="BJ193" s="985"/>
      <c r="BK193" s="437"/>
      <c r="BL193" s="437"/>
      <c r="BM193" s="437"/>
      <c r="BN193" s="437"/>
      <c r="BO193" s="985"/>
      <c r="BP193" s="985"/>
      <c r="BQ193" s="985"/>
      <c r="BR193" s="985"/>
      <c r="BS193" s="71"/>
    </row>
    <row r="194" spans="1:71" s="28" customFormat="1" ht="15" hidden="1" outlineLevel="1">
      <c r="A194" s="40" t="s">
        <v>387</v>
      </c>
      <c r="B194" s="467"/>
      <c r="C194" s="1021">
        <f t="shared" si="519" ref="C194:AM194">SUM(C192:C193)</f>
        <v>0.86099999999999999</v>
      </c>
      <c r="D194" s="1021">
        <f t="shared" si="519"/>
        <v>0.91300000000000003</v>
      </c>
      <c r="E194" s="1021">
        <f t="shared" si="519"/>
        <v>1.0469999999999999</v>
      </c>
      <c r="F194" s="1021">
        <f t="shared" si="519"/>
        <v>0.97399999999999998</v>
      </c>
      <c r="G194" s="1021">
        <f t="shared" si="519"/>
        <v>0.92799999999999994</v>
      </c>
      <c r="H194" s="43">
        <f t="shared" si="519"/>
        <v>0.8919999999999999</v>
      </c>
      <c r="I194" s="43">
        <f t="shared" si="519"/>
        <v>0.98100000000000009</v>
      </c>
      <c r="J194" s="43">
        <f t="shared" si="519"/>
        <v>0.95199999999999996</v>
      </c>
      <c r="K194" s="43">
        <f t="shared" si="519"/>
        <v>0.89799999999999991</v>
      </c>
      <c r="L194" s="1021">
        <f t="shared" si="519"/>
        <v>0.93100000000000005</v>
      </c>
      <c r="M194" s="43">
        <f t="shared" si="519"/>
        <v>0.93300000000000005</v>
      </c>
      <c r="N194" s="43">
        <f t="shared" si="519"/>
        <v>0.93199999999999994</v>
      </c>
      <c r="O194" s="43">
        <f t="shared" si="519"/>
        <v>0.92199999999999993</v>
      </c>
      <c r="P194" s="43">
        <f t="shared" si="519"/>
        <v>0.89599999999999991</v>
      </c>
      <c r="Q194" s="1021">
        <f t="shared" si="519"/>
        <v>0.92100000000000004</v>
      </c>
      <c r="R194" s="43">
        <f t="shared" si="519"/>
        <v>0.95100000000000007</v>
      </c>
      <c r="S194" s="43">
        <f t="shared" si="519"/>
        <v>0.96500000000000008</v>
      </c>
      <c r="T194" s="43">
        <f t="shared" si="519"/>
        <v>0.96100000000000008</v>
      </c>
      <c r="U194" s="43">
        <f t="shared" si="519"/>
        <v>0.8859999999999999</v>
      </c>
      <c r="V194" s="1021">
        <f t="shared" si="519"/>
        <v>0.94100000000000006</v>
      </c>
      <c r="W194" s="43">
        <f t="shared" si="519"/>
        <v>0.96399999999999997</v>
      </c>
      <c r="X194" s="43">
        <f t="shared" si="519"/>
        <v>0.96500000000000008</v>
      </c>
      <c r="Y194" s="43">
        <f t="shared" si="519"/>
        <v>1.0980000000000001</v>
      </c>
      <c r="Z194" s="43">
        <f t="shared" si="519"/>
        <v>0.8859999999999999</v>
      </c>
      <c r="AA194" s="1021">
        <f t="shared" si="519"/>
        <v>0.97799999999999998</v>
      </c>
      <c r="AB194" s="43">
        <f t="shared" si="519"/>
        <v>0.97500000000000009</v>
      </c>
      <c r="AC194" s="43">
        <f t="shared" si="519"/>
        <v>0.98799999999999999</v>
      </c>
      <c r="AD194" s="43">
        <f t="shared" si="519"/>
        <v>1.006</v>
      </c>
      <c r="AE194" s="43">
        <f t="shared" si="519"/>
        <v>0.99399999999999999</v>
      </c>
      <c r="AF194" s="1021">
        <f t="shared" si="519"/>
        <v>0.9910000000000001</v>
      </c>
      <c r="AG194" s="43">
        <f t="shared" si="519"/>
        <v>0.98100000000000009</v>
      </c>
      <c r="AH194" s="43">
        <f t="shared" si="519"/>
        <v>1.0109999999999999</v>
      </c>
      <c r="AI194" s="43">
        <f t="shared" si="519"/>
        <v>1.0700000000000001</v>
      </c>
      <c r="AJ194" s="43">
        <f t="shared" si="519"/>
        <v>0.97500000000000009</v>
      </c>
      <c r="AK194" s="1021">
        <f t="shared" si="519"/>
        <v>1.0089999999999999</v>
      </c>
      <c r="AL194" s="43">
        <f t="shared" si="519"/>
        <v>1.022</v>
      </c>
      <c r="AM194" s="43">
        <f t="shared" si="519"/>
        <v>1.071</v>
      </c>
      <c r="AN194" s="43">
        <f>SUM(AN192:AN193)</f>
        <v>1.0229999999999999</v>
      </c>
      <c r="AO194" s="43">
        <f t="shared" si="520" ref="AO194:AQ194">SUM(AO192:AO193)</f>
        <v>0.89799999999999991</v>
      </c>
      <c r="AP194" s="1021">
        <f t="shared" si="520"/>
        <v>1.0029999999999999</v>
      </c>
      <c r="AQ194" s="43">
        <f t="shared" si="520"/>
        <v>1.0349999999999999</v>
      </c>
      <c r="AR194" s="43">
        <f t="shared" si="521" ref="AR194:AW194">SUM(AR192:AR193)</f>
        <v>0.95300000000000007</v>
      </c>
      <c r="AS194" s="43">
        <f t="shared" si="521"/>
        <v>0.97500000000000009</v>
      </c>
      <c r="AT194" s="43">
        <f t="shared" si="521"/>
        <v>0.86999999999999988</v>
      </c>
      <c r="AU194" s="1021">
        <f t="shared" si="521"/>
        <v>0.95700000000000007</v>
      </c>
      <c r="AV194" s="43">
        <f t="shared" si="521"/>
        <v>0.90900000000000003</v>
      </c>
      <c r="AW194" s="43">
        <f t="shared" si="521"/>
        <v>0.93199999999999994</v>
      </c>
      <c r="AX194" s="43">
        <f t="shared" si="522" ref="AX194:BC194">SUM(AX192:AX193)</f>
        <v>0.96300000000000008</v>
      </c>
      <c r="AY194" s="43">
        <f t="shared" si="522"/>
        <v>0.895</v>
      </c>
      <c r="AZ194" s="1021">
        <f t="shared" si="522"/>
        <v>0.925</v>
      </c>
      <c r="BA194" s="43">
        <f t="shared" si="522"/>
        <v>0.93599999999999994</v>
      </c>
      <c r="BB194" s="43">
        <f t="shared" si="522"/>
        <v>1.0009999999999999</v>
      </c>
      <c r="BC194" s="43">
        <f t="shared" si="522"/>
        <v>0.99099999999999988</v>
      </c>
      <c r="BD194" s="43">
        <f>SUM(BD192:BD193)</f>
        <v>0.865</v>
      </c>
      <c r="BE194" s="1021">
        <f>SUM(BE192:BE193)</f>
        <v>0.94700000000000006</v>
      </c>
      <c r="BF194" s="43">
        <f>SUM(BF192:BF193)</f>
        <v>0.93300000000000005</v>
      </c>
      <c r="BG194" s="43">
        <f>SUM(BG192:BG193)</f>
        <v>0.96100000000000008</v>
      </c>
      <c r="BH194" s="758">
        <f>SUM(BH192:BH193)</f>
        <v>0.95799999999999996</v>
      </c>
      <c r="BI194" s="460"/>
      <c r="BJ194" s="1018"/>
      <c r="BK194" s="460"/>
      <c r="BL194" s="460"/>
      <c r="BM194" s="460"/>
      <c r="BN194" s="460"/>
      <c r="BO194" s="1018"/>
      <c r="BP194" s="1018"/>
      <c r="BQ194" s="1018"/>
      <c r="BR194" s="1018"/>
      <c r="BS194" s="43"/>
    </row>
    <row r="195" spans="1:71" s="24" customFormat="1" ht="15" hidden="1" outlineLevel="1">
      <c r="A195" s="449"/>
      <c r="B195" s="445"/>
      <c r="C195" s="1011"/>
      <c r="D195" s="1011"/>
      <c r="E195" s="1011"/>
      <c r="F195" s="1011"/>
      <c r="G195" s="1011"/>
      <c r="H195" s="857"/>
      <c r="I195" s="857"/>
      <c r="J195" s="857"/>
      <c r="K195" s="857"/>
      <c r="L195" s="1011"/>
      <c r="M195" s="857"/>
      <c r="N195" s="857"/>
      <c r="O195" s="857"/>
      <c r="P195" s="857"/>
      <c r="Q195" s="1011"/>
      <c r="R195" s="857"/>
      <c r="S195" s="857"/>
      <c r="T195" s="857"/>
      <c r="U195" s="857"/>
      <c r="V195" s="1011"/>
      <c r="W195" s="857"/>
      <c r="X195" s="857"/>
      <c r="Y195" s="857"/>
      <c r="Z195" s="857"/>
      <c r="AA195" s="1011"/>
      <c r="AB195" s="857"/>
      <c r="AC195" s="857"/>
      <c r="AD195" s="857"/>
      <c r="AE195" s="857"/>
      <c r="AF195" s="1011"/>
      <c r="AG195" s="857"/>
      <c r="AH195" s="857"/>
      <c r="AI195" s="857"/>
      <c r="AJ195" s="857"/>
      <c r="AK195" s="1011"/>
      <c r="AL195" s="857"/>
      <c r="AM195" s="857"/>
      <c r="AN195" s="857"/>
      <c r="AO195" s="857"/>
      <c r="AP195" s="1011"/>
      <c r="AQ195" s="857"/>
      <c r="AR195" s="857"/>
      <c r="AS195" s="857"/>
      <c r="AT195" s="857"/>
      <c r="AU195" s="1011"/>
      <c r="AV195" s="857"/>
      <c r="AW195" s="857"/>
      <c r="AX195" s="857"/>
      <c r="AY195" s="857"/>
      <c r="AZ195" s="1011"/>
      <c r="BA195" s="857"/>
      <c r="BB195" s="857"/>
      <c r="BC195" s="857"/>
      <c r="BD195" s="857"/>
      <c r="BE195" s="1011"/>
      <c r="BF195" s="857"/>
      <c r="BG195" s="857"/>
      <c r="BH195" s="858"/>
      <c r="BI195" s="857"/>
      <c r="BJ195" s="1011"/>
      <c r="BK195" s="857"/>
      <c r="BL195" s="857"/>
      <c r="BM195" s="857"/>
      <c r="BN195" s="857"/>
      <c r="BO195" s="1011"/>
      <c r="BP195" s="1011"/>
      <c r="BQ195" s="1011"/>
      <c r="BR195" s="1011"/>
      <c r="BS195" s="833"/>
    </row>
    <row r="196" spans="1:71" s="27" customFormat="1" ht="15" hidden="1" outlineLevel="1">
      <c r="A196" s="41" t="s">
        <v>388</v>
      </c>
      <c r="B196" s="434"/>
      <c r="C196" s="984">
        <v>-0.092999999999999999</v>
      </c>
      <c r="D196" s="984">
        <v>-0.084000000000000005</v>
      </c>
      <c r="E196" s="984">
        <v>-0.021999999999999999</v>
      </c>
      <c r="F196" s="984">
        <v>-0.04</v>
      </c>
      <c r="G196" s="984">
        <v>-0.03</v>
      </c>
      <c r="H196" s="907">
        <v>-0.027</v>
      </c>
      <c r="I196" s="907">
        <v>-0.012999999999999999</v>
      </c>
      <c r="J196" s="907">
        <v>-0.0060000000000000001</v>
      </c>
      <c r="K196" s="907">
        <v>-0.042999999999999997</v>
      </c>
      <c r="L196" s="984">
        <v>-0.021999999999999999</v>
      </c>
      <c r="M196" s="907">
        <v>-0.021000000000000001</v>
      </c>
      <c r="N196" s="907">
        <v>-0.028000000000000001</v>
      </c>
      <c r="O196" s="907">
        <v>-0.014</v>
      </c>
      <c r="P196" s="907">
        <v>-0.048000000000000001</v>
      </c>
      <c r="Q196" s="984">
        <v>-0.028000000000000001</v>
      </c>
      <c r="R196" s="907">
        <v>-0.021999999999999999</v>
      </c>
      <c r="S196" s="907">
        <v>-0.035999999999999997</v>
      </c>
      <c r="T196" s="907">
        <v>-0.001</v>
      </c>
      <c r="U196" s="907">
        <v>-0.063</v>
      </c>
      <c r="V196" s="984">
        <v>-0.031</v>
      </c>
      <c r="W196" s="907">
        <v>-0.017999999999999999</v>
      </c>
      <c r="X196" s="907">
        <v>-0.035999999999999997</v>
      </c>
      <c r="Y196" s="907">
        <v>-0.0030000000000000001</v>
      </c>
      <c r="Z196" s="907">
        <v>-0.067000000000000004</v>
      </c>
      <c r="AA196" s="984">
        <v>-0.031</v>
      </c>
      <c r="AB196" s="907">
        <v>-0.019</v>
      </c>
      <c r="AC196" s="907">
        <v>-0.023</v>
      </c>
      <c r="AD196" s="907">
        <v>0.015</v>
      </c>
      <c r="AE196" s="907">
        <v>-0.012</v>
      </c>
      <c r="AF196" s="984">
        <v>-0.01</v>
      </c>
      <c r="AG196" s="907">
        <v>0.0060000000000000001</v>
      </c>
      <c r="AH196" s="907">
        <v>-0.019</v>
      </c>
      <c r="AI196" s="907">
        <v>0.081000000000000003</v>
      </c>
      <c r="AJ196" s="907">
        <v>-0.002</v>
      </c>
      <c r="AK196" s="984">
        <v>0.017000000000000001</v>
      </c>
      <c r="AL196" s="907">
        <v>-0.001</v>
      </c>
      <c r="AM196" s="907">
        <v>0</v>
      </c>
      <c r="AN196" s="907">
        <v>0.058000000000000003</v>
      </c>
      <c r="AO196" s="907">
        <v>-0.032000000000000001</v>
      </c>
      <c r="AP196" s="984">
        <v>0.0060000000000000001</v>
      </c>
      <c r="AQ196" s="907">
        <v>-0.035000000000000003</v>
      </c>
      <c r="AR196" s="907">
        <v>-0.019</v>
      </c>
      <c r="AS196" s="907">
        <v>0.027</v>
      </c>
      <c r="AT196" s="907">
        <v>-0.017999999999999999</v>
      </c>
      <c r="AU196" s="984">
        <v>-0.010999999999999999</v>
      </c>
      <c r="AV196" s="907">
        <v>-0.028000000000000001</v>
      </c>
      <c r="AW196" s="907">
        <v>-0.048000000000000001</v>
      </c>
      <c r="AX196" s="907">
        <v>0.014</v>
      </c>
      <c r="AY196" s="907">
        <v>-0.028000000000000001</v>
      </c>
      <c r="AZ196" s="984">
        <v>-0.021999999999999999</v>
      </c>
      <c r="BA196" s="907">
        <v>-0.0040000000000000001</v>
      </c>
      <c r="BB196" s="907">
        <v>0.021999999999999999</v>
      </c>
      <c r="BC196" s="907">
        <v>0.052999999999999999</v>
      </c>
      <c r="BD196" s="907">
        <v>-0.010999999999999999</v>
      </c>
      <c r="BE196" s="984">
        <v>0.015</v>
      </c>
      <c r="BF196" s="907">
        <v>0</v>
      </c>
      <c r="BG196" s="907">
        <v>-0.0060000000000000001</v>
      </c>
      <c r="BH196" s="929">
        <v>0.017000000000000001</v>
      </c>
      <c r="BI196" s="435"/>
      <c r="BJ196" s="982"/>
      <c r="BK196" s="435"/>
      <c r="BL196" s="435"/>
      <c r="BM196" s="435"/>
      <c r="BN196" s="435"/>
      <c r="BO196" s="982"/>
      <c r="BP196" s="982"/>
      <c r="BQ196" s="982"/>
      <c r="BR196" s="982"/>
      <c r="BS196" s="71"/>
    </row>
    <row r="197" spans="1:71" s="27" customFormat="1" ht="15" hidden="1" outlineLevel="1">
      <c r="A197" s="328" t="s">
        <v>389</v>
      </c>
      <c r="B197" s="436"/>
      <c r="C197" s="987">
        <v>0.016</v>
      </c>
      <c r="D197" s="987">
        <v>0.041000000000000002</v>
      </c>
      <c r="E197" s="987">
        <v>0.09</v>
      </c>
      <c r="F197" s="987">
        <v>0.068000000000000005</v>
      </c>
      <c r="G197" s="987">
        <v>0.025</v>
      </c>
      <c r="H197" s="909">
        <v>0.024</v>
      </c>
      <c r="I197" s="909">
        <v>0.066000000000000003</v>
      </c>
      <c r="J197" s="909">
        <v>0.0089999999999999993</v>
      </c>
      <c r="K197" s="909">
        <v>0.002</v>
      </c>
      <c r="L197" s="987">
        <v>0.025</v>
      </c>
      <c r="M197" s="909">
        <v>0.027</v>
      </c>
      <c r="N197" s="909">
        <v>0.029000000000000001</v>
      </c>
      <c r="O197" s="909">
        <v>0.010999999999999999</v>
      </c>
      <c r="P197" s="909">
        <v>0</v>
      </c>
      <c r="Q197" s="987">
        <v>0.017000000000000001</v>
      </c>
      <c r="R197" s="909">
        <v>0.042999999999999997</v>
      </c>
      <c r="S197" s="909">
        <v>0.048000000000000001</v>
      </c>
      <c r="T197" s="909">
        <v>0.021000000000000001</v>
      </c>
      <c r="U197" s="909">
        <v>0.021000000000000001</v>
      </c>
      <c r="V197" s="987">
        <v>0.034000000000000002</v>
      </c>
      <c r="W197" s="909">
        <v>0.037999999999999999</v>
      </c>
      <c r="X197" s="909">
        <v>0.052999999999999999</v>
      </c>
      <c r="Y197" s="909">
        <v>0.13700000000000001</v>
      </c>
      <c r="Z197" s="909">
        <v>0.014</v>
      </c>
      <c r="AA197" s="987">
        <v>0.06</v>
      </c>
      <c r="AB197" s="909">
        <v>0.039</v>
      </c>
      <c r="AC197" s="909">
        <v>0.045999999999999999</v>
      </c>
      <c r="AD197" s="909">
        <v>0.036999999999999998</v>
      </c>
      <c r="AE197" s="909">
        <v>0.051999999999999998</v>
      </c>
      <c r="AF197" s="987">
        <v>0.043999999999999997</v>
      </c>
      <c r="AG197" s="909">
        <v>0.025</v>
      </c>
      <c r="AH197" s="909">
        <v>0.056000000000000001</v>
      </c>
      <c r="AI197" s="909">
        <v>0.03</v>
      </c>
      <c r="AJ197" s="909">
        <v>0.012999999999999999</v>
      </c>
      <c r="AK197" s="987">
        <v>0.03</v>
      </c>
      <c r="AL197" s="909">
        <v>0.05</v>
      </c>
      <c r="AM197" s="909">
        <v>0.10100000000000001</v>
      </c>
      <c r="AN197" s="909">
        <v>0.025</v>
      </c>
      <c r="AO197" s="909">
        <v>-0.0060000000000000001</v>
      </c>
      <c r="AP197" s="987">
        <v>0.042000000000000003</v>
      </c>
      <c r="AQ197" s="909">
        <v>0.13300000000000001</v>
      </c>
      <c r="AR197" s="909">
        <v>0.039</v>
      </c>
      <c r="AS197" s="909">
        <v>0.045999999999999999</v>
      </c>
      <c r="AT197" s="909">
        <v>-0.01</v>
      </c>
      <c r="AU197" s="987">
        <v>0.050999999999999997</v>
      </c>
      <c r="AV197" s="909">
        <v>0.019</v>
      </c>
      <c r="AW197" s="909">
        <v>0.056000000000000001</v>
      </c>
      <c r="AX197" s="909">
        <v>0.049000000000000002</v>
      </c>
      <c r="AY197" s="909">
        <v>0.028000000000000001</v>
      </c>
      <c r="AZ197" s="987">
        <v>0.037999999999999999</v>
      </c>
      <c r="BA197" s="909">
        <v>0.043999999999999997</v>
      </c>
      <c r="BB197" s="909">
        <v>0.085</v>
      </c>
      <c r="BC197" s="909">
        <v>0.041000000000000002</v>
      </c>
      <c r="BD197" s="909">
        <v>0.0080000000000000002</v>
      </c>
      <c r="BE197" s="987">
        <v>0.042999999999999997</v>
      </c>
      <c r="BF197" s="909">
        <v>0.041000000000000002</v>
      </c>
      <c r="BG197" s="909">
        <v>0.075</v>
      </c>
      <c r="BH197" s="930">
        <v>0.062</v>
      </c>
      <c r="BI197" s="437"/>
      <c r="BJ197" s="985"/>
      <c r="BK197" s="437"/>
      <c r="BL197" s="437"/>
      <c r="BM197" s="437"/>
      <c r="BN197" s="437"/>
      <c r="BO197" s="985"/>
      <c r="BP197" s="985"/>
      <c r="BQ197" s="985"/>
      <c r="BR197" s="985"/>
      <c r="BS197" s="71"/>
    </row>
    <row r="198" spans="1:71" s="28" customFormat="1" ht="15" hidden="1" outlineLevel="1">
      <c r="A198" s="40" t="s">
        <v>390</v>
      </c>
      <c r="B198" s="467"/>
      <c r="C198" s="1021">
        <f t="shared" si="523" ref="C198:AM198">C194-C196-C197</f>
        <v>0.93799999999999994</v>
      </c>
      <c r="D198" s="1021">
        <f t="shared" si="523"/>
        <v>0.95599999999999996</v>
      </c>
      <c r="E198" s="1021">
        <f t="shared" si="523"/>
        <v>0.97899999999999998</v>
      </c>
      <c r="F198" s="1021">
        <f t="shared" si="523"/>
        <v>0.94599999999999995</v>
      </c>
      <c r="G198" s="1021">
        <f t="shared" si="523"/>
        <v>0.93299999999999994</v>
      </c>
      <c r="H198" s="43">
        <f t="shared" si="523"/>
        <v>0.89499999999999991</v>
      </c>
      <c r="I198" s="43">
        <f t="shared" si="523"/>
        <v>0.92800000000000016</v>
      </c>
      <c r="J198" s="43">
        <f t="shared" si="523"/>
        <v>0.94899999999999995</v>
      </c>
      <c r="K198" s="43">
        <f t="shared" si="523"/>
        <v>0.93899999999999995</v>
      </c>
      <c r="L198" s="1021">
        <f t="shared" si="523"/>
        <v>0.92800000000000005</v>
      </c>
      <c r="M198" s="43">
        <f t="shared" si="523"/>
        <v>0.92700000000000005</v>
      </c>
      <c r="N198" s="43">
        <f t="shared" si="523"/>
        <v>0.93099999999999994</v>
      </c>
      <c r="O198" s="43">
        <f t="shared" si="523"/>
        <v>0.925</v>
      </c>
      <c r="P198" s="43">
        <f t="shared" si="523"/>
        <v>0.94399999999999995</v>
      </c>
      <c r="Q198" s="1021">
        <f t="shared" si="523"/>
        <v>0.93200000000000005</v>
      </c>
      <c r="R198" s="43">
        <f t="shared" si="523"/>
        <v>0.93</v>
      </c>
      <c r="S198" s="43">
        <f t="shared" si="523"/>
        <v>0.95300000000000007</v>
      </c>
      <c r="T198" s="43">
        <f t="shared" si="523"/>
        <v>0.94100000000000006</v>
      </c>
      <c r="U198" s="43">
        <f t="shared" si="523"/>
        <v>0.92799999999999983</v>
      </c>
      <c r="V198" s="1021">
        <f t="shared" si="523"/>
        <v>0.93800000000000006</v>
      </c>
      <c r="W198" s="43">
        <f t="shared" si="523"/>
        <v>0.94399999999999995</v>
      </c>
      <c r="X198" s="43">
        <f t="shared" si="523"/>
        <v>0.94800000000000006</v>
      </c>
      <c r="Y198" s="43">
        <f t="shared" si="523"/>
        <v>0.96399999999999997</v>
      </c>
      <c r="Z198" s="43">
        <f t="shared" si="523"/>
        <v>0.93899999999999983</v>
      </c>
      <c r="AA198" s="1021">
        <f t="shared" si="523"/>
        <v>0.94899999999999984</v>
      </c>
      <c r="AB198" s="43">
        <f t="shared" si="523"/>
        <v>0.955</v>
      </c>
      <c r="AC198" s="43">
        <f t="shared" si="523"/>
        <v>0.96499999999999986</v>
      </c>
      <c r="AD198" s="43">
        <f t="shared" si="523"/>
        <v>0.95399999999999996</v>
      </c>
      <c r="AE198" s="43">
        <f t="shared" si="523"/>
        <v>0.95399999999999996</v>
      </c>
      <c r="AF198" s="1021">
        <f t="shared" si="523"/>
        <v>0.95700000000000007</v>
      </c>
      <c r="AG198" s="43">
        <f t="shared" si="523"/>
        <v>0.95</v>
      </c>
      <c r="AH198" s="43">
        <f t="shared" si="523"/>
        <v>0.97399999999999975</v>
      </c>
      <c r="AI198" s="43">
        <f t="shared" si="523"/>
        <v>0.95900000000000007</v>
      </c>
      <c r="AJ198" s="43">
        <f t="shared" si="523"/>
        <v>0.96400000000000008</v>
      </c>
      <c r="AK198" s="1021">
        <f t="shared" si="523"/>
        <v>0.96199999999999986</v>
      </c>
      <c r="AL198" s="43">
        <f t="shared" si="523"/>
        <v>0.97299999999999986</v>
      </c>
      <c r="AM198" s="43">
        <f t="shared" si="523"/>
        <v>0.97</v>
      </c>
      <c r="AN198" s="43">
        <f>AN194-AN196-AN197</f>
        <v>0.93999999999999984</v>
      </c>
      <c r="AO198" s="43">
        <f t="shared" si="524" ref="AO198:AQ198">AO194-AO196-AO197</f>
        <v>0.93599999999999994</v>
      </c>
      <c r="AP198" s="1021">
        <f t="shared" si="524"/>
        <v>0.95499999999999985</v>
      </c>
      <c r="AQ198" s="43">
        <f t="shared" si="524"/>
        <v>0.93699999999999983</v>
      </c>
      <c r="AR198" s="43">
        <f t="shared" si="525" ref="AR198:AW198">AR194-AR196-AR197</f>
        <v>0.93300000000000005</v>
      </c>
      <c r="AS198" s="43">
        <f t="shared" si="525"/>
        <v>0.90200000000000002</v>
      </c>
      <c r="AT198" s="43">
        <f t="shared" si="525"/>
        <v>0.89799999999999991</v>
      </c>
      <c r="AU198" s="1021">
        <f t="shared" si="525"/>
        <v>0.91700000000000004</v>
      </c>
      <c r="AV198" s="43">
        <f t="shared" si="525"/>
        <v>0.91800000000000004</v>
      </c>
      <c r="AW198" s="43">
        <f t="shared" si="525"/>
        <v>0.92399999999999993</v>
      </c>
      <c r="AX198" s="43">
        <f t="shared" si="526" ref="AX198:BC198">AX194-AX196-AX197</f>
        <v>0.90</v>
      </c>
      <c r="AY198" s="43">
        <f t="shared" si="526"/>
        <v>0.895</v>
      </c>
      <c r="AZ198" s="1021">
        <f t="shared" si="526"/>
        <v>0.90900000000000003</v>
      </c>
      <c r="BA198" s="43">
        <f t="shared" si="526"/>
        <v>0.89599999999999991</v>
      </c>
      <c r="BB198" s="43">
        <f t="shared" si="526"/>
        <v>0.89399999999999991</v>
      </c>
      <c r="BC198" s="43">
        <f t="shared" si="526"/>
        <v>0.8969999999999998</v>
      </c>
      <c r="BD198" s="43">
        <f>BD194-BD196-BD197</f>
        <v>0.86799999999999999</v>
      </c>
      <c r="BE198" s="1021">
        <f>BE194-BE196-BE197</f>
        <v>0.88900000000000001</v>
      </c>
      <c r="BF198" s="43">
        <f>BF194-BF196-BF197</f>
        <v>0.89200000000000002</v>
      </c>
      <c r="BG198" s="43">
        <f>BG194-BG196-BG197</f>
        <v>0.89200000000000013</v>
      </c>
      <c r="BH198" s="758">
        <f>BH194-BH196-BH197</f>
        <v>0.879</v>
      </c>
      <c r="BI198" s="460"/>
      <c r="BJ198" s="1018"/>
      <c r="BK198" s="460"/>
      <c r="BL198" s="460"/>
      <c r="BM198" s="460"/>
      <c r="BN198" s="460"/>
      <c r="BO198" s="1018"/>
      <c r="BP198" s="1018"/>
      <c r="BQ198" s="1018"/>
      <c r="BR198" s="1018"/>
      <c r="BS198" s="43"/>
    </row>
    <row r="199" spans="1:71" s="28" customFormat="1" ht="15" hidden="1" outlineLevel="1">
      <c r="A199" s="472"/>
      <c r="B199" s="467"/>
      <c r="C199" s="1018"/>
      <c r="D199" s="1018"/>
      <c r="E199" s="1018"/>
      <c r="F199" s="1018"/>
      <c r="G199" s="1018"/>
      <c r="H199" s="460"/>
      <c r="I199" s="460"/>
      <c r="J199" s="460"/>
      <c r="K199" s="460"/>
      <c r="L199" s="1018"/>
      <c r="M199" s="460"/>
      <c r="N199" s="460"/>
      <c r="O199" s="460"/>
      <c r="P199" s="460"/>
      <c r="Q199" s="1018"/>
      <c r="R199" s="460"/>
      <c r="S199" s="460"/>
      <c r="T199" s="460"/>
      <c r="U199" s="460"/>
      <c r="V199" s="1018"/>
      <c r="W199" s="460"/>
      <c r="X199" s="460"/>
      <c r="Y199" s="460"/>
      <c r="Z199" s="460"/>
      <c r="AA199" s="1018"/>
      <c r="AB199" s="460"/>
      <c r="AC199" s="460"/>
      <c r="AD199" s="460"/>
      <c r="AE199" s="460"/>
      <c r="AF199" s="1018"/>
      <c r="AG199" s="460"/>
      <c r="AH199" s="460"/>
      <c r="AI199" s="460"/>
      <c r="AJ199" s="460"/>
      <c r="AK199" s="1018"/>
      <c r="AL199" s="460"/>
      <c r="AM199" s="460"/>
      <c r="AN199" s="460"/>
      <c r="AO199" s="460"/>
      <c r="AP199" s="1018"/>
      <c r="AQ199" s="460"/>
      <c r="AR199" s="460"/>
      <c r="AS199" s="460"/>
      <c r="AT199" s="460"/>
      <c r="AU199" s="1018"/>
      <c r="AV199" s="460"/>
      <c r="AW199" s="460"/>
      <c r="AX199" s="460"/>
      <c r="AY199" s="460"/>
      <c r="AZ199" s="1018"/>
      <c r="BA199" s="460"/>
      <c r="BB199" s="460"/>
      <c r="BC199" s="460"/>
      <c r="BD199" s="460"/>
      <c r="BE199" s="1018"/>
      <c r="BF199" s="460"/>
      <c r="BG199" s="460"/>
      <c r="BH199" s="757"/>
      <c r="BI199" s="460"/>
      <c r="BJ199" s="1018"/>
      <c r="BK199" s="460"/>
      <c r="BL199" s="460"/>
      <c r="BM199" s="460"/>
      <c r="BN199" s="460"/>
      <c r="BO199" s="1018"/>
      <c r="BP199" s="1018"/>
      <c r="BQ199" s="1018"/>
      <c r="BR199" s="1018"/>
      <c r="BS199" s="43"/>
    </row>
    <row r="200" spans="1:71" s="181" customFormat="1" ht="15" hidden="1" outlineLevel="1">
      <c r="A200" s="826" t="s">
        <v>449</v>
      </c>
      <c r="B200" s="826"/>
      <c r="C200" s="847"/>
      <c r="D200" s="847"/>
      <c r="E200" s="847"/>
      <c r="F200" s="847"/>
      <c r="G200" s="847"/>
      <c r="H200" s="847"/>
      <c r="I200" s="847"/>
      <c r="J200" s="847"/>
      <c r="K200" s="847"/>
      <c r="L200" s="847"/>
      <c r="M200" s="847"/>
      <c r="N200" s="847"/>
      <c r="O200" s="847"/>
      <c r="P200" s="847"/>
      <c r="Q200" s="847"/>
      <c r="R200" s="847"/>
      <c r="S200" s="847"/>
      <c r="T200" s="847"/>
      <c r="U200" s="847"/>
      <c r="V200" s="847"/>
      <c r="W200" s="847"/>
      <c r="X200" s="847"/>
      <c r="Y200" s="847"/>
      <c r="Z200" s="847"/>
      <c r="AA200" s="847"/>
      <c r="AB200" s="847"/>
      <c r="AC200" s="847"/>
      <c r="AD200" s="847"/>
      <c r="AE200" s="847"/>
      <c r="AF200" s="847"/>
      <c r="AG200" s="847"/>
      <c r="AH200" s="847"/>
      <c r="AI200" s="847"/>
      <c r="AJ200" s="847"/>
      <c r="AK200" s="847"/>
      <c r="AL200" s="847"/>
      <c r="AM200" s="847"/>
      <c r="AN200" s="847"/>
      <c r="AO200" s="847"/>
      <c r="AP200" s="847"/>
      <c r="AQ200" s="847"/>
      <c r="AR200" s="847"/>
      <c r="AS200" s="847"/>
      <c r="AT200" s="847"/>
      <c r="AU200" s="847"/>
      <c r="AV200" s="847"/>
      <c r="AW200" s="847"/>
      <c r="AX200" s="847"/>
      <c r="AY200" s="847"/>
      <c r="AZ200" s="847"/>
      <c r="BA200" s="847"/>
      <c r="BB200" s="847"/>
      <c r="BC200" s="847"/>
      <c r="BD200" s="847"/>
      <c r="BE200" s="847"/>
      <c r="BF200" s="847"/>
      <c r="BG200" s="847"/>
      <c r="BH200" s="848"/>
      <c r="BI200" s="847"/>
      <c r="BJ200" s="847"/>
      <c r="BK200" s="847"/>
      <c r="BL200" s="847"/>
      <c r="BM200" s="847"/>
      <c r="BN200" s="847"/>
      <c r="BO200" s="847"/>
      <c r="BP200" s="847"/>
      <c r="BQ200" s="847"/>
      <c r="BR200" s="847"/>
      <c r="BS200" s="423"/>
    </row>
    <row r="201" spans="1:71" s="261" customFormat="1" ht="15" hidden="1" outlineLevel="1">
      <c r="A201" s="264" t="s">
        <v>450</v>
      </c>
      <c r="B201" s="468"/>
      <c r="C201" s="1032">
        <v>12098</v>
      </c>
      <c r="D201" s="1032">
        <v>11891</v>
      </c>
      <c r="E201" s="1032">
        <v>12418</v>
      </c>
      <c r="F201" s="1032">
        <v>13111</v>
      </c>
      <c r="G201" s="1032">
        <v>14992</v>
      </c>
      <c r="H201" s="924">
        <v>4224</v>
      </c>
      <c r="I201" s="924">
        <v>4067</v>
      </c>
      <c r="J201" s="924">
        <v>4057</v>
      </c>
      <c r="K201" s="924">
        <v>3860</v>
      </c>
      <c r="L201" s="993">
        <f>SUM(H201,I201,J201,K201)</f>
        <v>16208</v>
      </c>
      <c r="M201" s="924">
        <v>4276</v>
      </c>
      <c r="N201" s="924">
        <v>4027</v>
      </c>
      <c r="O201" s="924">
        <v>3981</v>
      </c>
      <c r="P201" s="924">
        <v>3783</v>
      </c>
      <c r="Q201" s="993">
        <f>SUM(M201,N201,O201,P201)</f>
        <v>16067</v>
      </c>
      <c r="R201" s="924">
        <v>4199</v>
      </c>
      <c r="S201" s="924">
        <v>3780</v>
      </c>
      <c r="T201" s="924">
        <v>3752</v>
      </c>
      <c r="U201" s="924">
        <v>3501</v>
      </c>
      <c r="V201" s="993">
        <f>SUM(R201,S201,T201,U201)</f>
        <v>15232</v>
      </c>
      <c r="W201" s="924">
        <v>4271</v>
      </c>
      <c r="X201" s="924">
        <v>3794</v>
      </c>
      <c r="Y201" s="924">
        <v>3787</v>
      </c>
      <c r="Z201" s="924">
        <v>3621</v>
      </c>
      <c r="AA201" s="993">
        <f>SUM(W201,X201,Y201,Z201)</f>
        <v>15473</v>
      </c>
      <c r="AB201" s="924">
        <v>4471</v>
      </c>
      <c r="AC201" s="924">
        <v>4038</v>
      </c>
      <c r="AD201" s="924">
        <v>3992</v>
      </c>
      <c r="AE201" s="924">
        <v>3754</v>
      </c>
      <c r="AF201" s="993">
        <f>SUM(AB201,AC201,AD201,AE201)</f>
        <v>16255</v>
      </c>
      <c r="AG201" s="924">
        <v>4730</v>
      </c>
      <c r="AH201" s="924">
        <v>4193</v>
      </c>
      <c r="AI201" s="924">
        <v>4271</v>
      </c>
      <c r="AJ201" s="924">
        <v>3957</v>
      </c>
      <c r="AK201" s="993">
        <f>SUM(AG201,AH201,AI201,AJ201)</f>
        <v>17151</v>
      </c>
      <c r="AL201" s="924">
        <v>4794</v>
      </c>
      <c r="AM201" s="924">
        <v>4127</v>
      </c>
      <c r="AN201" s="924">
        <v>4230</v>
      </c>
      <c r="AO201" s="265">
        <f>AP201-SUM(AL201,AM201,AN201)</f>
        <v>3909</v>
      </c>
      <c r="AP201" s="1032">
        <v>17060</v>
      </c>
      <c r="AQ201" s="924">
        <v>4776</v>
      </c>
      <c r="AR201" s="924">
        <v>4356</v>
      </c>
      <c r="AS201" s="924">
        <v>4453</v>
      </c>
      <c r="AT201" s="265">
        <f>AU201-SUM(AQ201,AR201,AS201)</f>
        <v>4244</v>
      </c>
      <c r="AU201" s="1032">
        <v>17829</v>
      </c>
      <c r="AV201" s="924">
        <v>5148</v>
      </c>
      <c r="AW201" s="924">
        <v>4786</v>
      </c>
      <c r="AX201" s="924">
        <v>4864</v>
      </c>
      <c r="AY201" s="265">
        <f>AZ201-SUM(AV201,AW201,AX201)</f>
        <v>4723</v>
      </c>
      <c r="AZ201" s="1032">
        <v>19521</v>
      </c>
      <c r="BA201" s="924">
        <v>5828</v>
      </c>
      <c r="BB201" s="924">
        <v>5662</v>
      </c>
      <c r="BC201" s="924">
        <v>5685</v>
      </c>
      <c r="BD201" s="265">
        <f>BE201-SUM(BA201,BB201,BC201)</f>
        <v>5394</v>
      </c>
      <c r="BE201" s="1032">
        <v>22569</v>
      </c>
      <c r="BF201" s="924">
        <v>6383</v>
      </c>
      <c r="BG201" s="924">
        <v>6169</v>
      </c>
      <c r="BH201" s="925">
        <v>6173</v>
      </c>
      <c r="BI201" s="210"/>
      <c r="BJ201" s="994"/>
      <c r="BK201" s="210"/>
      <c r="BL201" s="210"/>
      <c r="BM201" s="210"/>
      <c r="BN201" s="210"/>
      <c r="BO201" s="994"/>
      <c r="BP201" s="994"/>
      <c r="BQ201" s="994"/>
      <c r="BR201" s="994"/>
      <c r="BS201" s="265"/>
    </row>
    <row r="202" spans="1:71" s="261" customFormat="1" ht="15" hidden="1" outlineLevel="1">
      <c r="A202" s="264" t="s">
        <v>451</v>
      </c>
      <c r="B202" s="468"/>
      <c r="C202" s="1032">
        <v>10902</v>
      </c>
      <c r="D202" s="1032">
        <v>10857</v>
      </c>
      <c r="E202" s="1032">
        <v>11340</v>
      </c>
      <c r="F202" s="1032">
        <v>11872</v>
      </c>
      <c r="G202" s="1032">
        <v>13512</v>
      </c>
      <c r="H202" s="924">
        <v>3772</v>
      </c>
      <c r="I202" s="924">
        <v>3735</v>
      </c>
      <c r="J202" s="924">
        <v>3560</v>
      </c>
      <c r="K202" s="924">
        <v>3575</v>
      </c>
      <c r="L202" s="993">
        <f>SUM(H202,I202,J202,K202)</f>
        <v>14642</v>
      </c>
      <c r="M202" s="924">
        <v>3797</v>
      </c>
      <c r="N202" s="924">
        <v>3679</v>
      </c>
      <c r="O202" s="924">
        <v>3590</v>
      </c>
      <c r="P202" s="924">
        <v>3517</v>
      </c>
      <c r="Q202" s="993">
        <f>SUM(M202,N202,O202,P202)</f>
        <v>14583</v>
      </c>
      <c r="R202" s="924">
        <v>3760</v>
      </c>
      <c r="S202" s="924">
        <v>3472</v>
      </c>
      <c r="T202" s="924">
        <v>3388</v>
      </c>
      <c r="U202" s="924">
        <v>3280</v>
      </c>
      <c r="V202" s="993">
        <f>SUM(R202,S202,T202,U202)</f>
        <v>13900</v>
      </c>
      <c r="W202" s="924">
        <v>3855</v>
      </c>
      <c r="X202" s="924">
        <v>3544</v>
      </c>
      <c r="Y202" s="924">
        <v>3434</v>
      </c>
      <c r="Z202" s="924">
        <v>3437</v>
      </c>
      <c r="AA202" s="993">
        <f>SUM(W202,X202,Y202,Z202)</f>
        <v>14270</v>
      </c>
      <c r="AB202" s="924">
        <v>3994</v>
      </c>
      <c r="AC202" s="924">
        <v>3781</v>
      </c>
      <c r="AD202" s="924">
        <v>3648</v>
      </c>
      <c r="AE202" s="924">
        <v>3533</v>
      </c>
      <c r="AF202" s="993">
        <f>SUM(AB202,AC202,AD202,AE202)</f>
        <v>14956</v>
      </c>
      <c r="AG202" s="924">
        <v>4163</v>
      </c>
      <c r="AH202" s="924">
        <v>3874</v>
      </c>
      <c r="AI202" s="924">
        <v>3889</v>
      </c>
      <c r="AJ202" s="924">
        <v>3703</v>
      </c>
      <c r="AK202" s="993">
        <f>SUM(AG202,AH202,AI202,AJ202)</f>
        <v>15629</v>
      </c>
      <c r="AL202" s="924">
        <v>4190</v>
      </c>
      <c r="AM202" s="924">
        <v>3777</v>
      </c>
      <c r="AN202" s="924">
        <v>3833</v>
      </c>
      <c r="AO202" s="265">
        <f>AP202-SUM(AL202,AM202,AN202)</f>
        <v>3631</v>
      </c>
      <c r="AP202" s="1032">
        <v>15431</v>
      </c>
      <c r="AQ202" s="924">
        <v>4125</v>
      </c>
      <c r="AR202" s="924">
        <v>3980</v>
      </c>
      <c r="AS202" s="924">
        <v>4021</v>
      </c>
      <c r="AT202" s="265">
        <f>AU202-SUM(AQ202,AR202,AS202)</f>
        <v>3973</v>
      </c>
      <c r="AU202" s="1032">
        <v>16099</v>
      </c>
      <c r="AV202" s="924">
        <v>4502</v>
      </c>
      <c r="AW202" s="924">
        <v>4373</v>
      </c>
      <c r="AX202" s="924">
        <v>4370</v>
      </c>
      <c r="AY202" s="265">
        <f>AZ202-SUM(AV202,AW202,AX202)</f>
        <v>4390</v>
      </c>
      <c r="AZ202" s="1032">
        <v>17635</v>
      </c>
      <c r="BA202" s="924">
        <v>5157</v>
      </c>
      <c r="BB202" s="924">
        <v>5175</v>
      </c>
      <c r="BC202" s="924">
        <v>5080</v>
      </c>
      <c r="BD202" s="265">
        <f>BE202-SUM(BA202,BB202,BC202)</f>
        <v>5018</v>
      </c>
      <c r="BE202" s="1032">
        <v>20430</v>
      </c>
      <c r="BF202" s="924">
        <v>5598</v>
      </c>
      <c r="BG202" s="924">
        <v>5539</v>
      </c>
      <c r="BH202" s="925">
        <v>5517</v>
      </c>
      <c r="BI202" s="210"/>
      <c r="BJ202" s="994"/>
      <c r="BK202" s="210"/>
      <c r="BL202" s="210"/>
      <c r="BM202" s="210"/>
      <c r="BN202" s="210"/>
      <c r="BO202" s="994"/>
      <c r="BP202" s="994"/>
      <c r="BQ202" s="994"/>
      <c r="BR202" s="994"/>
      <c r="BS202" s="265"/>
    </row>
    <row r="203" spans="1:71" s="261" customFormat="1" ht="15" hidden="1" outlineLevel="1">
      <c r="A203" s="264" t="s">
        <v>452</v>
      </c>
      <c r="B203" s="468"/>
      <c r="C203" s="1032">
        <v>10968</v>
      </c>
      <c r="D203" s="1032">
        <v>10766</v>
      </c>
      <c r="E203" s="1032">
        <v>11327</v>
      </c>
      <c r="F203" s="1032">
        <v>11691</v>
      </c>
      <c r="G203" s="1032">
        <v>13332</v>
      </c>
      <c r="H203" s="924">
        <v>3558</v>
      </c>
      <c r="I203" s="924">
        <v>3637</v>
      </c>
      <c r="J203" s="924">
        <v>3660</v>
      </c>
      <c r="K203" s="924">
        <v>3663</v>
      </c>
      <c r="L203" s="993">
        <f>SUM(H203,I203,J203,K203)</f>
        <v>14518</v>
      </c>
      <c r="M203" s="924">
        <v>3620</v>
      </c>
      <c r="N203" s="924">
        <v>3609</v>
      </c>
      <c r="O203" s="924">
        <v>3653</v>
      </c>
      <c r="P203" s="924">
        <v>3639</v>
      </c>
      <c r="Q203" s="993">
        <f>SUM(M203,N203,O203,P203)</f>
        <v>14521</v>
      </c>
      <c r="R203" s="924">
        <v>3414</v>
      </c>
      <c r="S203" s="924">
        <v>3439</v>
      </c>
      <c r="T203" s="924">
        <v>3497</v>
      </c>
      <c r="U203" s="924">
        <v>3505</v>
      </c>
      <c r="V203" s="993">
        <f>SUM(R203,S203,T203,U203)</f>
        <v>13855</v>
      </c>
      <c r="W203" s="924">
        <v>3429</v>
      </c>
      <c r="X203" s="924">
        <v>3504</v>
      </c>
      <c r="Y203" s="924">
        <v>3576</v>
      </c>
      <c r="Z203" s="924">
        <v>3637</v>
      </c>
      <c r="AA203" s="993">
        <f>SUM(W203,X203,Y203,Z203)</f>
        <v>14146</v>
      </c>
      <c r="AB203" s="924">
        <v>3568</v>
      </c>
      <c r="AC203" s="924">
        <v>3641</v>
      </c>
      <c r="AD203" s="924">
        <v>3743</v>
      </c>
      <c r="AE203" s="924">
        <v>3770</v>
      </c>
      <c r="AF203" s="993">
        <f>SUM(AB203,AC203,AD203,AE203)</f>
        <v>14722</v>
      </c>
      <c r="AG203" s="924">
        <v>3742</v>
      </c>
      <c r="AH203" s="924">
        <v>3783</v>
      </c>
      <c r="AI203" s="924">
        <v>3882</v>
      </c>
      <c r="AJ203" s="924">
        <v>3893</v>
      </c>
      <c r="AK203" s="993">
        <f>SUM(AG203,AH203,AI203,AJ203)</f>
        <v>15300</v>
      </c>
      <c r="AL203" s="924">
        <v>3864</v>
      </c>
      <c r="AM203" s="924">
        <v>3735</v>
      </c>
      <c r="AN203" s="924">
        <v>3841</v>
      </c>
      <c r="AO203" s="265">
        <f>AP203-SUM(AL203,AM203,AN203)</f>
        <v>3854</v>
      </c>
      <c r="AP203" s="1032">
        <v>15294</v>
      </c>
      <c r="AQ203" s="924">
        <v>3799</v>
      </c>
      <c r="AR203" s="924">
        <v>3880</v>
      </c>
      <c r="AS203" s="924">
        <v>3970</v>
      </c>
      <c r="AT203" s="265">
        <f>AU203-SUM(AQ203,AR203,AS203)</f>
        <v>4090</v>
      </c>
      <c r="AU203" s="1032">
        <v>15739</v>
      </c>
      <c r="AV203" s="924">
        <v>4073</v>
      </c>
      <c r="AW203" s="924">
        <v>4217</v>
      </c>
      <c r="AX203" s="924">
        <v>4353</v>
      </c>
      <c r="AY203" s="265">
        <f>AZ203-SUM(AV203,AW203,AX203)</f>
        <v>4453</v>
      </c>
      <c r="AZ203" s="1032">
        <v>17096</v>
      </c>
      <c r="BA203" s="924">
        <v>4477</v>
      </c>
      <c r="BB203" s="924">
        <v>4644</v>
      </c>
      <c r="BC203" s="924">
        <v>4956</v>
      </c>
      <c r="BD203" s="265">
        <f>BE203-SUM(BA203,BB203,BC203)</f>
        <v>5067</v>
      </c>
      <c r="BE203" s="1032">
        <v>19144</v>
      </c>
      <c r="BF203" s="924">
        <v>5162</v>
      </c>
      <c r="BG203" s="924">
        <v>5168</v>
      </c>
      <c r="BH203" s="925">
        <v>5474</v>
      </c>
      <c r="BI203" s="210"/>
      <c r="BJ203" s="994"/>
      <c r="BK203" s="210"/>
      <c r="BL203" s="210"/>
      <c r="BM203" s="210"/>
      <c r="BN203" s="210"/>
      <c r="BO203" s="994"/>
      <c r="BP203" s="994"/>
      <c r="BQ203" s="994"/>
      <c r="BR203" s="994"/>
      <c r="BS203" s="265"/>
    </row>
    <row r="204" spans="1:71" s="261" customFormat="1" ht="15" hidden="1" outlineLevel="1">
      <c r="A204" s="264" t="s">
        <v>453</v>
      </c>
      <c r="B204" s="468"/>
      <c r="C204" s="1032">
        <v>5914</v>
      </c>
      <c r="D204" s="1032">
        <v>6375</v>
      </c>
      <c r="E204" s="1032">
        <v>8289</v>
      </c>
      <c r="F204" s="1032">
        <v>7727</v>
      </c>
      <c r="G204" s="1032">
        <v>8072</v>
      </c>
      <c r="H204" s="924">
        <v>2132</v>
      </c>
      <c r="I204" s="924">
        <v>2397</v>
      </c>
      <c r="J204" s="924">
        <v>2310</v>
      </c>
      <c r="K204" s="924">
        <v>2103</v>
      </c>
      <c r="L204" s="993">
        <f>SUM(H204,I204,J204,K204)</f>
        <v>8942</v>
      </c>
      <c r="M204" s="924">
        <v>2216</v>
      </c>
      <c r="N204" s="924">
        <v>2187</v>
      </c>
      <c r="O204" s="924">
        <v>2182</v>
      </c>
      <c r="P204" s="924">
        <v>2073</v>
      </c>
      <c r="Q204" s="993">
        <f>SUM(M204,N204,O204,P204)</f>
        <v>8658</v>
      </c>
      <c r="R204" s="924">
        <v>2166</v>
      </c>
      <c r="S204" s="924">
        <v>2193</v>
      </c>
      <c r="T204" s="924">
        <v>2223</v>
      </c>
      <c r="U204" s="924">
        <v>1975</v>
      </c>
      <c r="V204" s="993">
        <f>SUM(R204,S204,T204,U204)</f>
        <v>8557</v>
      </c>
      <c r="W204" s="924">
        <v>2215</v>
      </c>
      <c r="X204" s="924">
        <v>2254</v>
      </c>
      <c r="Y204" s="924">
        <v>2795</v>
      </c>
      <c r="Z204" s="924">
        <v>2053</v>
      </c>
      <c r="AA204" s="993">
        <f>SUM(W204,X204,Y204,Z204)</f>
        <v>9317</v>
      </c>
      <c r="AB204" s="924">
        <v>2344</v>
      </c>
      <c r="AC204" s="924">
        <v>2429</v>
      </c>
      <c r="AD204" s="924">
        <v>2606</v>
      </c>
      <c r="AE204" s="924">
        <v>2586</v>
      </c>
      <c r="AF204" s="993">
        <f>SUM(AB204,AC204,AD204,AE204)</f>
        <v>9965</v>
      </c>
      <c r="AG204" s="924">
        <v>2529</v>
      </c>
      <c r="AH204" s="924">
        <v>2631</v>
      </c>
      <c r="AI204" s="924">
        <v>2969</v>
      </c>
      <c r="AJ204" s="924">
        <v>2608</v>
      </c>
      <c r="AK204" s="993">
        <f>SUM(AG204,AH204,AI204,AJ204)</f>
        <v>10737</v>
      </c>
      <c r="AL204" s="924">
        <v>2737</v>
      </c>
      <c r="AM204" s="924">
        <v>2828</v>
      </c>
      <c r="AN204" s="924">
        <v>2750</v>
      </c>
      <c r="AO204" s="265">
        <f>AP204-SUM(AL204,AM204,AN204)</f>
        <v>2282</v>
      </c>
      <c r="AP204" s="1032">
        <v>10597</v>
      </c>
      <c r="AQ204" s="924">
        <v>2741</v>
      </c>
      <c r="AR204" s="924">
        <v>2500</v>
      </c>
      <c r="AS204" s="924">
        <v>2657</v>
      </c>
      <c r="AT204" s="265">
        <f>AU204-SUM(AQ204,AR204,AS204)</f>
        <v>2326</v>
      </c>
      <c r="AU204" s="1032">
        <v>10224</v>
      </c>
      <c r="AV204" s="924">
        <v>2472</v>
      </c>
      <c r="AW204" s="924">
        <v>2656</v>
      </c>
      <c r="AX204" s="924">
        <v>2911</v>
      </c>
      <c r="AY204" s="265">
        <f>AZ204-SUM(AV204,AW204,AX204)</f>
        <v>2682</v>
      </c>
      <c r="AZ204" s="1032">
        <v>10721</v>
      </c>
      <c r="BA204" s="924">
        <v>2858</v>
      </c>
      <c r="BB204" s="924">
        <v>3251</v>
      </c>
      <c r="BC204" s="924">
        <v>3467</v>
      </c>
      <c r="BD204" s="265">
        <f>BE204-SUM(BA204,BB204,BC204)</f>
        <v>2924</v>
      </c>
      <c r="BE204" s="1032">
        <v>12500</v>
      </c>
      <c r="BF204" s="924">
        <v>3282</v>
      </c>
      <c r="BG204" s="924">
        <v>3422</v>
      </c>
      <c r="BH204" s="925">
        <v>3645</v>
      </c>
      <c r="BI204" s="210"/>
      <c r="BJ204" s="994"/>
      <c r="BK204" s="210"/>
      <c r="BL204" s="210"/>
      <c r="BM204" s="210"/>
      <c r="BN204" s="210"/>
      <c r="BO204" s="994"/>
      <c r="BP204" s="994"/>
      <c r="BQ204" s="994"/>
      <c r="BR204" s="994"/>
      <c r="BS204" s="265"/>
    </row>
    <row r="205" spans="1:71" s="261" customFormat="1" ht="15" hidden="1" outlineLevel="1">
      <c r="A205" s="209" t="s">
        <v>454</v>
      </c>
      <c r="B205" s="469"/>
      <c r="C205" s="1033">
        <v>3492</v>
      </c>
      <c r="D205" s="1033">
        <v>3456</v>
      </c>
      <c r="E205" s="1033">
        <v>3579</v>
      </c>
      <c r="F205" s="1033">
        <v>3699</v>
      </c>
      <c r="G205" s="1033">
        <v>4264</v>
      </c>
      <c r="H205" s="927">
        <v>1105</v>
      </c>
      <c r="I205" s="927">
        <v>1178</v>
      </c>
      <c r="J205" s="927">
        <v>1169</v>
      </c>
      <c r="K205" s="927">
        <v>1156</v>
      </c>
      <c r="L205" s="995">
        <f>SUM(H205,I205,J205,K205)</f>
        <v>4608</v>
      </c>
      <c r="M205" s="927">
        <v>1206</v>
      </c>
      <c r="N205" s="927">
        <v>1192</v>
      </c>
      <c r="O205" s="927">
        <v>1178</v>
      </c>
      <c r="P205" s="927">
        <v>1151</v>
      </c>
      <c r="Q205" s="995">
        <f>SUM(M205,N205,O205,P205)</f>
        <v>4727</v>
      </c>
      <c r="R205" s="927">
        <v>1160</v>
      </c>
      <c r="S205" s="927">
        <v>1145</v>
      </c>
      <c r="T205" s="927">
        <v>1118</v>
      </c>
      <c r="U205" s="927">
        <v>1089</v>
      </c>
      <c r="V205" s="995">
        <f>SUM(R205,S205,T205,U205)</f>
        <v>4512</v>
      </c>
      <c r="W205" s="927">
        <v>1169</v>
      </c>
      <c r="X205" s="927">
        <v>1153</v>
      </c>
      <c r="Y205" s="927">
        <v>1106</v>
      </c>
      <c r="Z205" s="927">
        <v>1126</v>
      </c>
      <c r="AA205" s="995">
        <f>SUM(W205,X205,Y205,Z205)</f>
        <v>4554</v>
      </c>
      <c r="AB205" s="927">
        <v>1213</v>
      </c>
      <c r="AC205" s="927">
        <v>1196</v>
      </c>
      <c r="AD205" s="927">
        <v>1144</v>
      </c>
      <c r="AE205" s="927">
        <v>1107</v>
      </c>
      <c r="AF205" s="995">
        <f>SUM(AB205,AC205,AD205,AE205)</f>
        <v>4660</v>
      </c>
      <c r="AG205" s="927">
        <v>1226</v>
      </c>
      <c r="AH205" s="927">
        <v>1226</v>
      </c>
      <c r="AI205" s="927">
        <v>1164</v>
      </c>
      <c r="AJ205" s="927">
        <v>1133</v>
      </c>
      <c r="AK205" s="995">
        <f>SUM(AG205,AH205,AI205,AJ205)</f>
        <v>4749</v>
      </c>
      <c r="AL205" s="927">
        <v>1247</v>
      </c>
      <c r="AM205" s="927">
        <v>1167</v>
      </c>
      <c r="AN205" s="927">
        <v>1145</v>
      </c>
      <c r="AO205" s="186">
        <f>AP205-SUM(AL205,AM205,AN205)</f>
        <v>1132</v>
      </c>
      <c r="AP205" s="1033">
        <v>4691</v>
      </c>
      <c r="AQ205" s="927">
        <v>1251</v>
      </c>
      <c r="AR205" s="927">
        <v>1226</v>
      </c>
      <c r="AS205" s="927">
        <v>1205</v>
      </c>
      <c r="AT205" s="186">
        <f>AU205-SUM(AQ205,AR205,AS205)</f>
        <v>1190</v>
      </c>
      <c r="AU205" s="1033">
        <v>4872</v>
      </c>
      <c r="AV205" s="927">
        <v>1313</v>
      </c>
      <c r="AW205" s="927">
        <v>1325</v>
      </c>
      <c r="AX205" s="927">
        <v>1281</v>
      </c>
      <c r="AY205" s="186">
        <f>AZ205-SUM(AV205,AW205,AX205)</f>
        <v>1282</v>
      </c>
      <c r="AZ205" s="1033">
        <v>5201</v>
      </c>
      <c r="BA205" s="927">
        <v>1492</v>
      </c>
      <c r="BB205" s="927">
        <v>1507</v>
      </c>
      <c r="BC205" s="927">
        <v>1459</v>
      </c>
      <c r="BD205" s="186">
        <f>BE205-SUM(BA205,BB205,BC205)</f>
        <v>1464</v>
      </c>
      <c r="BE205" s="1033">
        <v>5922</v>
      </c>
      <c r="BF205" s="927">
        <v>1630</v>
      </c>
      <c r="BG205" s="927">
        <v>1620</v>
      </c>
      <c r="BH205" s="928">
        <v>1583</v>
      </c>
      <c r="BI205" s="205"/>
      <c r="BJ205" s="996"/>
      <c r="BK205" s="205"/>
      <c r="BL205" s="205"/>
      <c r="BM205" s="205"/>
      <c r="BN205" s="205"/>
      <c r="BO205" s="996"/>
      <c r="BP205" s="996"/>
      <c r="BQ205" s="996"/>
      <c r="BR205" s="996"/>
      <c r="BS205" s="265"/>
    </row>
    <row r="206" spans="1:71" s="45" customFormat="1" ht="15" hidden="1" outlineLevel="1">
      <c r="A206" s="197" t="s">
        <v>455</v>
      </c>
      <c r="B206" s="470"/>
      <c r="C206" s="1008">
        <f t="shared" si="527" ref="C206:AM206">C203-C204-C205</f>
        <v>1562</v>
      </c>
      <c r="D206" s="1008">
        <f t="shared" si="527"/>
        <v>935</v>
      </c>
      <c r="E206" s="1008">
        <f t="shared" si="527"/>
        <v>-541</v>
      </c>
      <c r="F206" s="1008">
        <f t="shared" si="527"/>
        <v>265</v>
      </c>
      <c r="G206" s="1008">
        <f t="shared" si="527"/>
        <v>996</v>
      </c>
      <c r="H206" s="185">
        <f t="shared" si="527"/>
        <v>321</v>
      </c>
      <c r="I206" s="185">
        <f t="shared" si="527"/>
        <v>62</v>
      </c>
      <c r="J206" s="185">
        <f t="shared" si="527"/>
        <v>181</v>
      </c>
      <c r="K206" s="185">
        <f t="shared" si="527"/>
        <v>404</v>
      </c>
      <c r="L206" s="1008">
        <f t="shared" si="527"/>
        <v>968</v>
      </c>
      <c r="M206" s="185">
        <f t="shared" si="527"/>
        <v>198</v>
      </c>
      <c r="N206" s="185">
        <f t="shared" si="527"/>
        <v>230</v>
      </c>
      <c r="O206" s="185">
        <f t="shared" si="527"/>
        <v>293</v>
      </c>
      <c r="P206" s="185">
        <f t="shared" si="527"/>
        <v>415</v>
      </c>
      <c r="Q206" s="1008">
        <f t="shared" si="527"/>
        <v>1136</v>
      </c>
      <c r="R206" s="185">
        <f t="shared" si="527"/>
        <v>88</v>
      </c>
      <c r="S206" s="185">
        <f t="shared" si="527"/>
        <v>101</v>
      </c>
      <c r="T206" s="185">
        <f t="shared" si="527"/>
        <v>156</v>
      </c>
      <c r="U206" s="185">
        <f t="shared" si="527"/>
        <v>441</v>
      </c>
      <c r="V206" s="1008">
        <f t="shared" si="527"/>
        <v>786</v>
      </c>
      <c r="W206" s="185">
        <f t="shared" si="527"/>
        <v>45</v>
      </c>
      <c r="X206" s="185">
        <f t="shared" si="527"/>
        <v>97</v>
      </c>
      <c r="Y206" s="185">
        <f t="shared" si="527"/>
        <v>-325</v>
      </c>
      <c r="Z206" s="185">
        <f t="shared" si="527"/>
        <v>458</v>
      </c>
      <c r="AA206" s="1008">
        <f t="shared" si="527"/>
        <v>275</v>
      </c>
      <c r="AB206" s="185">
        <f t="shared" si="527"/>
        <v>11</v>
      </c>
      <c r="AC206" s="185">
        <f t="shared" si="527"/>
        <v>16</v>
      </c>
      <c r="AD206" s="185">
        <f t="shared" si="527"/>
        <v>-7</v>
      </c>
      <c r="AE206" s="185">
        <f t="shared" si="527"/>
        <v>77</v>
      </c>
      <c r="AF206" s="1008">
        <f t="shared" si="527"/>
        <v>97</v>
      </c>
      <c r="AG206" s="185">
        <f t="shared" si="527"/>
        <v>-13</v>
      </c>
      <c r="AH206" s="185">
        <f t="shared" si="527"/>
        <v>-74</v>
      </c>
      <c r="AI206" s="185">
        <f t="shared" si="527"/>
        <v>-251</v>
      </c>
      <c r="AJ206" s="185">
        <f t="shared" si="527"/>
        <v>152</v>
      </c>
      <c r="AK206" s="1008">
        <f t="shared" si="527"/>
        <v>-186</v>
      </c>
      <c r="AL206" s="185">
        <f t="shared" si="527"/>
        <v>-120</v>
      </c>
      <c r="AM206" s="185">
        <f t="shared" si="527"/>
        <v>-260</v>
      </c>
      <c r="AN206" s="185">
        <f>AN203-AN204-AN205</f>
        <v>-54</v>
      </c>
      <c r="AO206" s="185">
        <f t="shared" si="528" ref="AO206:AQ206">AO203-AO204-AO205</f>
        <v>440</v>
      </c>
      <c r="AP206" s="1008">
        <f t="shared" si="528"/>
        <v>6</v>
      </c>
      <c r="AQ206" s="185">
        <f t="shared" si="528"/>
        <v>-193</v>
      </c>
      <c r="AR206" s="185">
        <f t="shared" si="529" ref="AR206:AW206">AR203-AR204-AR205</f>
        <v>154</v>
      </c>
      <c r="AS206" s="185">
        <f t="shared" si="529"/>
        <v>108</v>
      </c>
      <c r="AT206" s="185">
        <f t="shared" si="529"/>
        <v>574</v>
      </c>
      <c r="AU206" s="1008">
        <f t="shared" si="529"/>
        <v>643</v>
      </c>
      <c r="AV206" s="185">
        <f t="shared" si="529"/>
        <v>288</v>
      </c>
      <c r="AW206" s="185">
        <f t="shared" si="529"/>
        <v>236</v>
      </c>
      <c r="AX206" s="185">
        <f t="shared" si="530" ref="AX206:BC206">AX203-AX204-AX205</f>
        <v>161</v>
      </c>
      <c r="AY206" s="185">
        <f t="shared" si="530"/>
        <v>489</v>
      </c>
      <c r="AZ206" s="1008">
        <f t="shared" si="530"/>
        <v>1174</v>
      </c>
      <c r="BA206" s="185">
        <f t="shared" si="530"/>
        <v>127</v>
      </c>
      <c r="BB206" s="185">
        <f t="shared" si="530"/>
        <v>-114</v>
      </c>
      <c r="BC206" s="185">
        <f t="shared" si="530"/>
        <v>30</v>
      </c>
      <c r="BD206" s="185">
        <f>BD203-BD204-BD205</f>
        <v>679</v>
      </c>
      <c r="BE206" s="1008">
        <f>BE203-BE204-BE205</f>
        <v>722</v>
      </c>
      <c r="BF206" s="185">
        <f>BF203-BF204-BF205</f>
        <v>250</v>
      </c>
      <c r="BG206" s="185">
        <f>BG203-BG204-BG205</f>
        <v>126</v>
      </c>
      <c r="BH206" s="749">
        <f>BH203-BH204-BH205</f>
        <v>246</v>
      </c>
      <c r="BI206" s="199"/>
      <c r="BJ206" s="1009"/>
      <c r="BK206" s="199"/>
      <c r="BL206" s="199"/>
      <c r="BM206" s="199"/>
      <c r="BN206" s="199"/>
      <c r="BO206" s="1009"/>
      <c r="BP206" s="1009"/>
      <c r="BQ206" s="1009"/>
      <c r="BR206" s="1009"/>
      <c r="BS206" s="185"/>
    </row>
    <row r="207" spans="1:71" s="261" customFormat="1" ht="15" hidden="1" outlineLevel="1">
      <c r="A207" s="209" t="s">
        <v>456</v>
      </c>
      <c r="B207" s="469"/>
      <c r="C207" s="1033">
        <v>15</v>
      </c>
      <c r="D207" s="1033">
        <v>21</v>
      </c>
      <c r="E207" s="1033">
        <v>32</v>
      </c>
      <c r="F207" s="1033">
        <v>37</v>
      </c>
      <c r="G207" s="1033">
        <v>28</v>
      </c>
      <c r="H207" s="927">
        <v>8</v>
      </c>
      <c r="I207" s="927">
        <v>5</v>
      </c>
      <c r="J207" s="927">
        <v>7</v>
      </c>
      <c r="K207" s="927">
        <v>9</v>
      </c>
      <c r="L207" s="995">
        <f>SUM(H207,I207,J207,K207)</f>
        <v>29</v>
      </c>
      <c r="M207" s="927">
        <v>7</v>
      </c>
      <c r="N207" s="927">
        <v>8</v>
      </c>
      <c r="O207" s="927">
        <v>7</v>
      </c>
      <c r="P207" s="927">
        <v>9</v>
      </c>
      <c r="Q207" s="995">
        <f>SUM(M207,N207,O207,P207)</f>
        <v>31</v>
      </c>
      <c r="R207" s="927">
        <v>8</v>
      </c>
      <c r="S207" s="927">
        <v>9</v>
      </c>
      <c r="T207" s="927">
        <v>9</v>
      </c>
      <c r="U207" s="927">
        <v>9</v>
      </c>
      <c r="V207" s="995">
        <f>SUM(R207,S207,T207,U207)</f>
        <v>35</v>
      </c>
      <c r="W207" s="927">
        <v>9</v>
      </c>
      <c r="X207" s="927">
        <v>12</v>
      </c>
      <c r="Y207" s="927">
        <v>10</v>
      </c>
      <c r="Z207" s="927">
        <v>11</v>
      </c>
      <c r="AA207" s="995">
        <f>SUM(W207,X207,Y207,Z207)</f>
        <v>42</v>
      </c>
      <c r="AB207" s="927">
        <v>11</v>
      </c>
      <c r="AC207" s="927">
        <v>9</v>
      </c>
      <c r="AD207" s="927">
        <v>11</v>
      </c>
      <c r="AE207" s="927">
        <v>12</v>
      </c>
      <c r="AF207" s="995">
        <f>SUM(AB207,AC207,AD207,AE207)</f>
        <v>43</v>
      </c>
      <c r="AG207" s="927">
        <v>11</v>
      </c>
      <c r="AH207" s="927">
        <v>7</v>
      </c>
      <c r="AI207" s="927">
        <v>11</v>
      </c>
      <c r="AJ207" s="927">
        <v>7</v>
      </c>
      <c r="AK207" s="995">
        <f>SUM(AG207,AH207,AI207,AJ207)</f>
        <v>36</v>
      </c>
      <c r="AL207" s="927">
        <v>10</v>
      </c>
      <c r="AM207" s="927">
        <v>6</v>
      </c>
      <c r="AN207" s="927">
        <v>9</v>
      </c>
      <c r="AO207" s="186">
        <f>AP207-SUM(AL207,AM207,AN207)</f>
        <v>7</v>
      </c>
      <c r="AP207" s="1033">
        <v>32</v>
      </c>
      <c r="AQ207" s="927">
        <v>8</v>
      </c>
      <c r="AR207" s="927">
        <v>6</v>
      </c>
      <c r="AS207" s="927">
        <v>8</v>
      </c>
      <c r="AT207" s="186">
        <f>AU207-SUM(AQ207,AR207,AS207)</f>
        <v>7</v>
      </c>
      <c r="AU207" s="1033">
        <v>29</v>
      </c>
      <c r="AV207" s="927">
        <v>8</v>
      </c>
      <c r="AW207" s="927">
        <v>4</v>
      </c>
      <c r="AX207" s="927">
        <v>7</v>
      </c>
      <c r="AY207" s="186">
        <f>AZ207-SUM(AV207,AW207,AX207)</f>
        <v>9</v>
      </c>
      <c r="AZ207" s="1033">
        <v>28</v>
      </c>
      <c r="BA207" s="927">
        <v>8</v>
      </c>
      <c r="BB207" s="927">
        <v>7</v>
      </c>
      <c r="BC207" s="927">
        <v>8</v>
      </c>
      <c r="BD207" s="186">
        <f>BE207-SUM(BA207,BB207,BC207)</f>
        <v>8</v>
      </c>
      <c r="BE207" s="1033">
        <v>31</v>
      </c>
      <c r="BF207" s="927">
        <v>8</v>
      </c>
      <c r="BG207" s="927">
        <v>7</v>
      </c>
      <c r="BH207" s="928">
        <v>9</v>
      </c>
      <c r="BI207" s="205"/>
      <c r="BJ207" s="996"/>
      <c r="BK207" s="205"/>
      <c r="BL207" s="205"/>
      <c r="BM207" s="205"/>
      <c r="BN207" s="205"/>
      <c r="BO207" s="996"/>
      <c r="BP207" s="996"/>
      <c r="BQ207" s="996"/>
      <c r="BR207" s="996"/>
      <c r="BS207" s="265"/>
    </row>
    <row r="208" spans="1:71" s="45" customFormat="1" ht="15" hidden="1" outlineLevel="1">
      <c r="A208" s="197" t="s">
        <v>457</v>
      </c>
      <c r="B208" s="470"/>
      <c r="C208" s="1008">
        <f t="shared" si="531" ref="C208:AM208">C206-C207</f>
        <v>1547</v>
      </c>
      <c r="D208" s="1008">
        <f t="shared" si="531"/>
        <v>914</v>
      </c>
      <c r="E208" s="1008">
        <f t="shared" si="531"/>
        <v>-573</v>
      </c>
      <c r="F208" s="1008">
        <f t="shared" si="531"/>
        <v>228</v>
      </c>
      <c r="G208" s="1008">
        <f t="shared" si="531"/>
        <v>968</v>
      </c>
      <c r="H208" s="185">
        <f t="shared" si="531"/>
        <v>313</v>
      </c>
      <c r="I208" s="185">
        <f t="shared" si="531"/>
        <v>57</v>
      </c>
      <c r="J208" s="185">
        <f t="shared" si="531"/>
        <v>174</v>
      </c>
      <c r="K208" s="185">
        <f t="shared" si="531"/>
        <v>395</v>
      </c>
      <c r="L208" s="1008">
        <f t="shared" si="531"/>
        <v>939</v>
      </c>
      <c r="M208" s="185">
        <f t="shared" si="531"/>
        <v>191</v>
      </c>
      <c r="N208" s="185">
        <f t="shared" si="531"/>
        <v>222</v>
      </c>
      <c r="O208" s="185">
        <f t="shared" si="531"/>
        <v>286</v>
      </c>
      <c r="P208" s="185">
        <f t="shared" si="531"/>
        <v>406</v>
      </c>
      <c r="Q208" s="1008">
        <f t="shared" si="531"/>
        <v>1105</v>
      </c>
      <c r="R208" s="185">
        <f t="shared" si="531"/>
        <v>80</v>
      </c>
      <c r="S208" s="185">
        <f t="shared" si="531"/>
        <v>92</v>
      </c>
      <c r="T208" s="185">
        <f t="shared" si="531"/>
        <v>147</v>
      </c>
      <c r="U208" s="185">
        <f t="shared" si="531"/>
        <v>432</v>
      </c>
      <c r="V208" s="1008">
        <f t="shared" si="531"/>
        <v>751</v>
      </c>
      <c r="W208" s="185">
        <f t="shared" si="531"/>
        <v>36</v>
      </c>
      <c r="X208" s="185">
        <f t="shared" si="531"/>
        <v>85</v>
      </c>
      <c r="Y208" s="185">
        <f t="shared" si="531"/>
        <v>-335</v>
      </c>
      <c r="Z208" s="185">
        <f t="shared" si="531"/>
        <v>447</v>
      </c>
      <c r="AA208" s="1008">
        <f t="shared" si="531"/>
        <v>233</v>
      </c>
      <c r="AB208" s="185">
        <f t="shared" si="531"/>
        <v>0</v>
      </c>
      <c r="AC208" s="185">
        <f t="shared" si="531"/>
        <v>7</v>
      </c>
      <c r="AD208" s="185">
        <f t="shared" si="531"/>
        <v>-18</v>
      </c>
      <c r="AE208" s="185">
        <f t="shared" si="531"/>
        <v>65</v>
      </c>
      <c r="AF208" s="1008">
        <f t="shared" si="531"/>
        <v>54</v>
      </c>
      <c r="AG208" s="185">
        <f t="shared" si="531"/>
        <v>-24</v>
      </c>
      <c r="AH208" s="185">
        <f t="shared" si="531"/>
        <v>-81</v>
      </c>
      <c r="AI208" s="185">
        <f t="shared" si="531"/>
        <v>-262</v>
      </c>
      <c r="AJ208" s="185">
        <f t="shared" si="531"/>
        <v>145</v>
      </c>
      <c r="AK208" s="1008">
        <f t="shared" si="531"/>
        <v>-222</v>
      </c>
      <c r="AL208" s="185">
        <f t="shared" si="531"/>
        <v>-130</v>
      </c>
      <c r="AM208" s="185">
        <f t="shared" si="531"/>
        <v>-266</v>
      </c>
      <c r="AN208" s="185">
        <f>AN206-AN207</f>
        <v>-63</v>
      </c>
      <c r="AO208" s="185">
        <f t="shared" si="532" ref="AO208:AQ208">AO206-AO207</f>
        <v>433</v>
      </c>
      <c r="AP208" s="1008">
        <f t="shared" si="532"/>
        <v>-26</v>
      </c>
      <c r="AQ208" s="185">
        <f t="shared" si="532"/>
        <v>-201</v>
      </c>
      <c r="AR208" s="185">
        <f t="shared" si="533" ref="AR208:AW208">AR206-AR207</f>
        <v>148</v>
      </c>
      <c r="AS208" s="185">
        <f t="shared" si="533"/>
        <v>100</v>
      </c>
      <c r="AT208" s="185">
        <f t="shared" si="533"/>
        <v>567</v>
      </c>
      <c r="AU208" s="1008">
        <f t="shared" si="533"/>
        <v>614</v>
      </c>
      <c r="AV208" s="185">
        <f t="shared" si="533"/>
        <v>280</v>
      </c>
      <c r="AW208" s="185">
        <f t="shared" si="533"/>
        <v>232</v>
      </c>
      <c r="AX208" s="185">
        <f t="shared" si="534" ref="AX208:BC208">AX206-AX207</f>
        <v>154</v>
      </c>
      <c r="AY208" s="185">
        <f t="shared" si="534"/>
        <v>480</v>
      </c>
      <c r="AZ208" s="1008">
        <f t="shared" si="534"/>
        <v>1146</v>
      </c>
      <c r="BA208" s="185">
        <f t="shared" si="534"/>
        <v>119</v>
      </c>
      <c r="BB208" s="185">
        <f t="shared" si="534"/>
        <v>-121</v>
      </c>
      <c r="BC208" s="185">
        <f t="shared" si="534"/>
        <v>22</v>
      </c>
      <c r="BD208" s="185">
        <f>BD206-BD207</f>
        <v>671</v>
      </c>
      <c r="BE208" s="1008">
        <f>BE206-BE207</f>
        <v>691</v>
      </c>
      <c r="BF208" s="185">
        <f>BF206-BF207</f>
        <v>242</v>
      </c>
      <c r="BG208" s="185">
        <f>BG206-BG207</f>
        <v>119</v>
      </c>
      <c r="BH208" s="749">
        <f>BH206-BH207</f>
        <v>237</v>
      </c>
      <c r="BI208" s="199"/>
      <c r="BJ208" s="1009"/>
      <c r="BK208" s="199"/>
      <c r="BL208" s="199"/>
      <c r="BM208" s="199"/>
      <c r="BN208" s="199"/>
      <c r="BO208" s="1009"/>
      <c r="BP208" s="1009"/>
      <c r="BQ208" s="1009"/>
      <c r="BR208" s="1009"/>
      <c r="BS208" s="185"/>
    </row>
    <row r="209" spans="1:71" s="28" customFormat="1" ht="15" hidden="1" outlineLevel="1">
      <c r="A209" s="472"/>
      <c r="B209" s="467"/>
      <c r="C209" s="1018"/>
      <c r="D209" s="1018"/>
      <c r="E209" s="1018"/>
      <c r="F209" s="1018"/>
      <c r="G209" s="1018"/>
      <c r="H209" s="460"/>
      <c r="I209" s="460"/>
      <c r="J209" s="460"/>
      <c r="K209" s="460"/>
      <c r="L209" s="1018"/>
      <c r="M209" s="460"/>
      <c r="N209" s="460"/>
      <c r="O209" s="460"/>
      <c r="P209" s="460"/>
      <c r="Q209" s="1018"/>
      <c r="R209" s="460"/>
      <c r="S209" s="460"/>
      <c r="T209" s="460"/>
      <c r="U209" s="460"/>
      <c r="V209" s="1018"/>
      <c r="W209" s="460"/>
      <c r="X209" s="460"/>
      <c r="Y209" s="460"/>
      <c r="Z209" s="460"/>
      <c r="AA209" s="1018"/>
      <c r="AB209" s="460"/>
      <c r="AC209" s="460"/>
      <c r="AD209" s="460"/>
      <c r="AE209" s="460"/>
      <c r="AF209" s="1018"/>
      <c r="AG209" s="460"/>
      <c r="AH209" s="460"/>
      <c r="AI209" s="460"/>
      <c r="AJ209" s="460"/>
      <c r="AK209" s="1018"/>
      <c r="AL209" s="460"/>
      <c r="AM209" s="460"/>
      <c r="AN209" s="460"/>
      <c r="AO209" s="460"/>
      <c r="AP209" s="1018"/>
      <c r="AQ209" s="460"/>
      <c r="AR209" s="460"/>
      <c r="AS209" s="460"/>
      <c r="AT209" s="460"/>
      <c r="AU209" s="1018"/>
      <c r="AV209" s="460"/>
      <c r="AW209" s="460"/>
      <c r="AX209" s="460"/>
      <c r="AY209" s="460"/>
      <c r="AZ209" s="1018"/>
      <c r="BA209" s="460"/>
      <c r="BB209" s="460"/>
      <c r="BC209" s="460"/>
      <c r="BD209" s="460"/>
      <c r="BE209" s="1018"/>
      <c r="BF209" s="460"/>
      <c r="BG209" s="460"/>
      <c r="BH209" s="757"/>
      <c r="BI209" s="460"/>
      <c r="BJ209" s="1018"/>
      <c r="BK209" s="460"/>
      <c r="BL209" s="460"/>
      <c r="BM209" s="460"/>
      <c r="BN209" s="460"/>
      <c r="BO209" s="1018"/>
      <c r="BP209" s="1018"/>
      <c r="BQ209" s="1018"/>
      <c r="BR209" s="1018"/>
      <c r="BS209" s="43"/>
    </row>
    <row r="210" spans="1:71" s="181" customFormat="1" ht="15" hidden="1" outlineLevel="1">
      <c r="A210" s="826" t="s">
        <v>458</v>
      </c>
      <c r="B210" s="826"/>
      <c r="C210" s="847"/>
      <c r="D210" s="847"/>
      <c r="E210" s="847"/>
      <c r="F210" s="847"/>
      <c r="G210" s="847"/>
      <c r="H210" s="847"/>
      <c r="I210" s="847"/>
      <c r="J210" s="847"/>
      <c r="K210" s="847"/>
      <c r="L210" s="847"/>
      <c r="M210" s="847"/>
      <c r="N210" s="847"/>
      <c r="O210" s="847"/>
      <c r="P210" s="847"/>
      <c r="Q210" s="847"/>
      <c r="R210" s="847"/>
      <c r="S210" s="847"/>
      <c r="T210" s="847"/>
      <c r="U210" s="847"/>
      <c r="V210" s="847"/>
      <c r="W210" s="847"/>
      <c r="X210" s="847"/>
      <c r="Y210" s="847"/>
      <c r="Z210" s="847"/>
      <c r="AA210" s="847"/>
      <c r="AB210" s="847"/>
      <c r="AC210" s="847"/>
      <c r="AD210" s="847"/>
      <c r="AE210" s="847"/>
      <c r="AF210" s="847"/>
      <c r="AG210" s="847"/>
      <c r="AH210" s="847"/>
      <c r="AI210" s="847"/>
      <c r="AJ210" s="847"/>
      <c r="AK210" s="847"/>
      <c r="AL210" s="847"/>
      <c r="AM210" s="847"/>
      <c r="AN210" s="847"/>
      <c r="AO210" s="847"/>
      <c r="AP210" s="847"/>
      <c r="AQ210" s="847"/>
      <c r="AR210" s="847"/>
      <c r="AS210" s="847"/>
      <c r="AT210" s="847"/>
      <c r="AU210" s="847"/>
      <c r="AV210" s="847"/>
      <c r="AW210" s="847"/>
      <c r="AX210" s="847"/>
      <c r="AY210" s="847"/>
      <c r="AZ210" s="847"/>
      <c r="BA210" s="847"/>
      <c r="BB210" s="847"/>
      <c r="BC210" s="847"/>
      <c r="BD210" s="847"/>
      <c r="BE210" s="847"/>
      <c r="BF210" s="847"/>
      <c r="BG210" s="847"/>
      <c r="BH210" s="848"/>
      <c r="BI210" s="847"/>
      <c r="BJ210" s="847"/>
      <c r="BK210" s="847"/>
      <c r="BL210" s="847"/>
      <c r="BM210" s="847"/>
      <c r="BN210" s="847"/>
      <c r="BO210" s="847"/>
      <c r="BP210" s="847"/>
      <c r="BQ210" s="847"/>
      <c r="BR210" s="847"/>
      <c r="BS210" s="423"/>
    </row>
    <row r="211" spans="1:71" s="389" customFormat="1" ht="15" hidden="1" outlineLevel="1">
      <c r="A211" s="387" t="s">
        <v>436</v>
      </c>
      <c r="B211" s="473"/>
      <c r="C211" s="1034"/>
      <c r="D211" s="1034"/>
      <c r="E211" s="1034"/>
      <c r="F211" s="1034"/>
      <c r="G211" s="1035">
        <v>2724</v>
      </c>
      <c r="H211" s="932">
        <v>718</v>
      </c>
      <c r="I211" s="932">
        <v>705</v>
      </c>
      <c r="J211" s="932">
        <v>654</v>
      </c>
      <c r="K211" s="932">
        <v>630</v>
      </c>
      <c r="L211" s="1036">
        <f t="shared" si="535" ref="L211:L216">SUM(H211,I211,J211,K211)</f>
        <v>2707</v>
      </c>
      <c r="M211" s="932">
        <v>722</v>
      </c>
      <c r="N211" s="932">
        <v>709</v>
      </c>
      <c r="O211" s="932">
        <v>654</v>
      </c>
      <c r="P211" s="932">
        <v>631</v>
      </c>
      <c r="Q211" s="1036">
        <f t="shared" si="536" ref="Q211:Q216">SUM(M211,N211,O211,P211)</f>
        <v>2716</v>
      </c>
      <c r="R211" s="932">
        <v>724</v>
      </c>
      <c r="S211" s="932">
        <v>709</v>
      </c>
      <c r="T211" s="932">
        <v>657</v>
      </c>
      <c r="U211" s="932">
        <v>639</v>
      </c>
      <c r="V211" s="1036">
        <f>SUM(R211,S211,T211,U211)</f>
        <v>2729</v>
      </c>
      <c r="W211" s="932">
        <v>755</v>
      </c>
      <c r="X211" s="932">
        <v>720</v>
      </c>
      <c r="Y211" s="932">
        <v>664</v>
      </c>
      <c r="Z211" s="932">
        <v>661</v>
      </c>
      <c r="AA211" s="1036">
        <f>SUM(W211,X211,Y211,Z211)</f>
        <v>2800</v>
      </c>
      <c r="AB211" s="932">
        <v>773</v>
      </c>
      <c r="AC211" s="932">
        <v>729</v>
      </c>
      <c r="AD211" s="932">
        <v>666</v>
      </c>
      <c r="AE211" s="932">
        <v>660</v>
      </c>
      <c r="AF211" s="1036">
        <f>SUM(AB211,AC211,AD211,AE211)</f>
        <v>2828</v>
      </c>
      <c r="AG211" s="932">
        <v>785</v>
      </c>
      <c r="AH211" s="932">
        <v>756</v>
      </c>
      <c r="AI211" s="932">
        <v>695</v>
      </c>
      <c r="AJ211" s="932">
        <v>675</v>
      </c>
      <c r="AK211" s="1036">
        <f>SUM(AG211,AH211,AI211,AJ211)</f>
        <v>2911</v>
      </c>
      <c r="AL211" s="932">
        <v>799</v>
      </c>
      <c r="AM211" s="932">
        <v>734</v>
      </c>
      <c r="AN211" s="932">
        <v>658</v>
      </c>
      <c r="AO211" s="387">
        <f>AP211-SUM(AL211,AM211,AN211)</f>
        <v>630</v>
      </c>
      <c r="AP211" s="1035">
        <v>2821</v>
      </c>
      <c r="AQ211" s="932">
        <v>729</v>
      </c>
      <c r="AR211" s="932">
        <v>726</v>
      </c>
      <c r="AS211" s="932">
        <v>685</v>
      </c>
      <c r="AT211" s="387">
        <f>AU211-SUM(AQ211,AR211,AS211)</f>
        <v>693</v>
      </c>
      <c r="AU211" s="1035">
        <v>2833</v>
      </c>
      <c r="AV211" s="932">
        <v>819</v>
      </c>
      <c r="AW211" s="932">
        <v>807</v>
      </c>
      <c r="AX211" s="932">
        <v>739</v>
      </c>
      <c r="AY211" s="387">
        <f>AZ211-SUM(AV211,AW211,AX211)</f>
        <v>734</v>
      </c>
      <c r="AZ211" s="1035">
        <v>3099</v>
      </c>
      <c r="BA211" s="932">
        <v>908</v>
      </c>
      <c r="BB211" s="932">
        <v>883</v>
      </c>
      <c r="BC211" s="932">
        <v>824</v>
      </c>
      <c r="BD211" s="387">
        <f>BE211-SUM(BA211,BB211,BC211)</f>
        <v>862</v>
      </c>
      <c r="BE211" s="1035">
        <v>3477</v>
      </c>
      <c r="BF211" s="932">
        <v>974</v>
      </c>
      <c r="BG211" s="932">
        <v>975</v>
      </c>
      <c r="BH211" s="933">
        <v>885</v>
      </c>
      <c r="BI211" s="474"/>
      <c r="BJ211" s="1034"/>
      <c r="BK211" s="474"/>
      <c r="BL211" s="474"/>
      <c r="BM211" s="474"/>
      <c r="BN211" s="474"/>
      <c r="BO211" s="1034"/>
      <c r="BP211" s="1034"/>
      <c r="BQ211" s="1034"/>
      <c r="BR211" s="1034"/>
      <c r="BS211" s="387"/>
    </row>
    <row r="212" spans="1:71" s="389" customFormat="1" ht="15" hidden="1" outlineLevel="1">
      <c r="A212" s="387" t="s">
        <v>437</v>
      </c>
      <c r="B212" s="473"/>
      <c r="C212" s="1034"/>
      <c r="D212" s="1034"/>
      <c r="E212" s="1034"/>
      <c r="F212" s="1034"/>
      <c r="G212" s="1035">
        <v>5862</v>
      </c>
      <c r="H212" s="932">
        <v>1632</v>
      </c>
      <c r="I212" s="932">
        <v>1420</v>
      </c>
      <c r="J212" s="932">
        <v>1545</v>
      </c>
      <c r="K212" s="932">
        <v>1511</v>
      </c>
      <c r="L212" s="1036">
        <f t="shared" si="535"/>
        <v>6108</v>
      </c>
      <c r="M212" s="932">
        <v>1726</v>
      </c>
      <c r="N212" s="932">
        <v>1451</v>
      </c>
      <c r="O212" s="932">
        <v>1597</v>
      </c>
      <c r="P212" s="932">
        <v>1528</v>
      </c>
      <c r="Q212" s="1036">
        <f t="shared" si="536"/>
        <v>6302</v>
      </c>
      <c r="R212" s="932">
        <v>2063</v>
      </c>
      <c r="S212" s="932">
        <v>1741</v>
      </c>
      <c r="T212" s="932">
        <v>1824</v>
      </c>
      <c r="U212" s="932">
        <v>1751</v>
      </c>
      <c r="V212" s="1036">
        <f>SUM(R212,S212,T212,U212)</f>
        <v>7379</v>
      </c>
      <c r="W212" s="932">
        <v>2177</v>
      </c>
      <c r="X212" s="932">
        <v>1820</v>
      </c>
      <c r="Y212" s="932">
        <v>1896</v>
      </c>
      <c r="Z212" s="932">
        <v>1863</v>
      </c>
      <c r="AA212" s="1036">
        <f>SUM(W212,X212,Y212,Z212)</f>
        <v>7756</v>
      </c>
      <c r="AB212" s="932">
        <v>2262</v>
      </c>
      <c r="AC212" s="932">
        <v>1985</v>
      </c>
      <c r="AD212" s="932">
        <v>2032</v>
      </c>
      <c r="AE212" s="932">
        <v>1935</v>
      </c>
      <c r="AF212" s="1036">
        <f>SUM(AB212,AC212,AD212,AE212)</f>
        <v>8214</v>
      </c>
      <c r="AG212" s="932">
        <v>2410</v>
      </c>
      <c r="AH212" s="932">
        <v>2009</v>
      </c>
      <c r="AI212" s="932">
        <v>2150</v>
      </c>
      <c r="AJ212" s="932">
        <v>2061</v>
      </c>
      <c r="AK212" s="1036">
        <f>SUM(AG212,AH212,AI212,AJ212)</f>
        <v>8630</v>
      </c>
      <c r="AL212" s="932">
        <v>2408</v>
      </c>
      <c r="AM212" s="932">
        <v>1960</v>
      </c>
      <c r="AN212" s="932">
        <v>2131</v>
      </c>
      <c r="AO212" s="387">
        <f>AP212-SUM(AL212,AM212,AN212)</f>
        <v>2012</v>
      </c>
      <c r="AP212" s="1035">
        <v>8511</v>
      </c>
      <c r="AQ212" s="932">
        <v>2384</v>
      </c>
      <c r="AR212" s="932">
        <v>2087</v>
      </c>
      <c r="AS212" s="932">
        <v>2252</v>
      </c>
      <c r="AT212" s="387">
        <f>AU212-SUM(AQ212,AR212,AS212)</f>
        <v>2210</v>
      </c>
      <c r="AU212" s="1035">
        <v>8933</v>
      </c>
      <c r="AV212" s="932">
        <v>2616</v>
      </c>
      <c r="AW212" s="932">
        <v>2329</v>
      </c>
      <c r="AX212" s="932">
        <v>2465</v>
      </c>
      <c r="AY212" s="387">
        <f>AZ212-SUM(AV212,AW212,AX212)</f>
        <v>2513</v>
      </c>
      <c r="AZ212" s="1035">
        <v>9923</v>
      </c>
      <c r="BA212" s="932">
        <v>2926</v>
      </c>
      <c r="BB212" s="932">
        <v>2618</v>
      </c>
      <c r="BC212" s="932">
        <v>2750</v>
      </c>
      <c r="BD212" s="387">
        <f>BE212-SUM(BA212,BB212,BC212)</f>
        <v>2751</v>
      </c>
      <c r="BE212" s="1035">
        <v>11045</v>
      </c>
      <c r="BF212" s="932">
        <v>3213</v>
      </c>
      <c r="BG212" s="932">
        <v>2769</v>
      </c>
      <c r="BH212" s="933">
        <v>3030</v>
      </c>
      <c r="BI212" s="474"/>
      <c r="BJ212" s="1034"/>
      <c r="BK212" s="474"/>
      <c r="BL212" s="474"/>
      <c r="BM212" s="474"/>
      <c r="BN212" s="474"/>
      <c r="BO212" s="1034"/>
      <c r="BP212" s="1034"/>
      <c r="BQ212" s="1034"/>
      <c r="BR212" s="1034"/>
      <c r="BS212" s="387"/>
    </row>
    <row r="213" spans="1:71" s="389" customFormat="1" ht="15" hidden="1" outlineLevel="1">
      <c r="A213" s="387" t="s">
        <v>438</v>
      </c>
      <c r="B213" s="473"/>
      <c r="C213" s="1034"/>
      <c r="D213" s="1034"/>
      <c r="E213" s="1034"/>
      <c r="F213" s="1034"/>
      <c r="G213" s="1035">
        <v>1010</v>
      </c>
      <c r="H213" s="932">
        <v>300</v>
      </c>
      <c r="I213" s="932">
        <v>243</v>
      </c>
      <c r="J213" s="932">
        <v>249</v>
      </c>
      <c r="K213" s="932">
        <v>255</v>
      </c>
      <c r="L213" s="1036">
        <f t="shared" si="535"/>
        <v>1047</v>
      </c>
      <c r="M213" s="932">
        <v>299</v>
      </c>
      <c r="N213" s="932">
        <v>228</v>
      </c>
      <c r="O213" s="932">
        <v>254</v>
      </c>
      <c r="P213" s="932">
        <v>267</v>
      </c>
      <c r="Q213" s="1036">
        <f t="shared" si="536"/>
        <v>1048</v>
      </c>
      <c r="R213" s="932">
        <v>320</v>
      </c>
      <c r="S213" s="932">
        <v>234</v>
      </c>
      <c r="T213" s="932">
        <v>245</v>
      </c>
      <c r="U213" s="932">
        <v>259</v>
      </c>
      <c r="V213" s="1036">
        <f>SUM(R213,S213,T213,U213)</f>
        <v>1058</v>
      </c>
      <c r="W213" s="932">
        <v>288</v>
      </c>
      <c r="X213" s="932">
        <v>219</v>
      </c>
      <c r="Y213" s="932">
        <v>244</v>
      </c>
      <c r="Z213" s="932">
        <v>259</v>
      </c>
      <c r="AA213" s="1036">
        <f>SUM(W213,X213,Y213,Z213)</f>
        <v>1010</v>
      </c>
      <c r="AB213" s="932">
        <v>309</v>
      </c>
      <c r="AC213" s="932">
        <v>231</v>
      </c>
      <c r="AD213" s="932">
        <v>238</v>
      </c>
      <c r="AE213" s="932">
        <v>247</v>
      </c>
      <c r="AF213" s="1036">
        <f>SUM(AB213,AC213,AD213,AE213)</f>
        <v>1025</v>
      </c>
      <c r="AG213" s="932">
        <v>304</v>
      </c>
      <c r="AH213" s="932">
        <v>223</v>
      </c>
      <c r="AI213" s="932">
        <v>273</v>
      </c>
      <c r="AJ213" s="932">
        <v>251</v>
      </c>
      <c r="AK213" s="1036">
        <f>SUM(AG213,AH213,AI213,AJ213)</f>
        <v>1051</v>
      </c>
      <c r="AL213" s="932">
        <v>301</v>
      </c>
      <c r="AM213" s="932">
        <v>215</v>
      </c>
      <c r="AN213" s="932">
        <v>239</v>
      </c>
      <c r="AO213" s="387">
        <f>AP213-SUM(AL213,AM213,AN213)</f>
        <v>241</v>
      </c>
      <c r="AP213" s="1035">
        <v>996</v>
      </c>
      <c r="AQ213" s="932">
        <v>290</v>
      </c>
      <c r="AR213" s="932">
        <v>213</v>
      </c>
      <c r="AS213" s="932">
        <v>228</v>
      </c>
      <c r="AT213" s="387">
        <f>AU213-SUM(AQ213,AR213,AS213)</f>
        <v>256</v>
      </c>
      <c r="AU213" s="1035">
        <v>987</v>
      </c>
      <c r="AV213" s="932">
        <v>303</v>
      </c>
      <c r="AW213" s="932">
        <v>240</v>
      </c>
      <c r="AX213" s="932">
        <v>247</v>
      </c>
      <c r="AY213" s="387">
        <f>AZ213-SUM(AV213,AW213,AX213)</f>
        <v>295</v>
      </c>
      <c r="AZ213" s="1035">
        <v>1085</v>
      </c>
      <c r="BA213" s="932">
        <v>294</v>
      </c>
      <c r="BB213" s="932">
        <v>277</v>
      </c>
      <c r="BC213" s="932">
        <v>247</v>
      </c>
      <c r="BD213" s="387">
        <f>BE213-SUM(BA213,BB213,BC213)</f>
        <v>317</v>
      </c>
      <c r="BE213" s="1035">
        <v>1135</v>
      </c>
      <c r="BF213" s="932">
        <v>327</v>
      </c>
      <c r="BG213" s="932">
        <v>312</v>
      </c>
      <c r="BH213" s="933">
        <v>264</v>
      </c>
      <c r="BI213" s="474"/>
      <c r="BJ213" s="1034"/>
      <c r="BK213" s="474"/>
      <c r="BL213" s="474"/>
      <c r="BM213" s="474"/>
      <c r="BN213" s="474"/>
      <c r="BO213" s="1034"/>
      <c r="BP213" s="1034"/>
      <c r="BQ213" s="1034"/>
      <c r="BR213" s="1034"/>
      <c r="BS213" s="387"/>
    </row>
    <row r="214" spans="1:71" s="389" customFormat="1" ht="15" hidden="1" outlineLevel="1">
      <c r="A214" s="387" t="s">
        <v>494</v>
      </c>
      <c r="B214" s="473"/>
      <c r="C214" s="1034"/>
      <c r="D214" s="1034"/>
      <c r="E214" s="1034"/>
      <c r="F214" s="1034"/>
      <c r="G214" s="1035">
        <v>1552</v>
      </c>
      <c r="H214" s="932">
        <v>387</v>
      </c>
      <c r="I214" s="932">
        <v>450</v>
      </c>
      <c r="J214" s="932">
        <v>369</v>
      </c>
      <c r="K214" s="932">
        <v>373</v>
      </c>
      <c r="L214" s="1036">
        <f t="shared" si="535"/>
        <v>1579</v>
      </c>
      <c r="M214" s="932">
        <v>340</v>
      </c>
      <c r="N214" s="932">
        <v>452</v>
      </c>
      <c r="O214" s="932">
        <v>411</v>
      </c>
      <c r="P214" s="932">
        <v>361</v>
      </c>
      <c r="Q214" s="1036">
        <f t="shared" si="536"/>
        <v>1564</v>
      </c>
      <c r="R214" s="474"/>
      <c r="S214" s="474"/>
      <c r="T214" s="474"/>
      <c r="U214" s="474"/>
      <c r="V214" s="1034"/>
      <c r="W214" s="474"/>
      <c r="X214" s="474"/>
      <c r="Y214" s="474"/>
      <c r="Z214" s="474"/>
      <c r="AA214" s="1034"/>
      <c r="AB214" s="474"/>
      <c r="AC214" s="474"/>
      <c r="AD214" s="474"/>
      <c r="AE214" s="474"/>
      <c r="AF214" s="1034"/>
      <c r="AG214" s="474"/>
      <c r="AH214" s="474"/>
      <c r="AI214" s="474"/>
      <c r="AJ214" s="474"/>
      <c r="AK214" s="1034"/>
      <c r="AL214" s="474"/>
      <c r="AM214" s="474"/>
      <c r="AN214" s="474"/>
      <c r="AO214" s="474"/>
      <c r="AP214" s="1034"/>
      <c r="AQ214" s="474"/>
      <c r="AR214" s="474"/>
      <c r="AS214" s="474"/>
      <c r="AT214" s="474"/>
      <c r="AU214" s="1034"/>
      <c r="AV214" s="474"/>
      <c r="AW214" s="474"/>
      <c r="AX214" s="474"/>
      <c r="AY214" s="474"/>
      <c r="AZ214" s="1034"/>
      <c r="BA214" s="474"/>
      <c r="BB214" s="474"/>
      <c r="BC214" s="474"/>
      <c r="BD214" s="474"/>
      <c r="BE214" s="1034"/>
      <c r="BF214" s="474"/>
      <c r="BG214" s="474"/>
      <c r="BH214" s="805"/>
      <c r="BI214" s="474"/>
      <c r="BJ214" s="1034"/>
      <c r="BK214" s="474"/>
      <c r="BL214" s="474"/>
      <c r="BM214" s="474"/>
      <c r="BN214" s="474"/>
      <c r="BO214" s="1034"/>
      <c r="BP214" s="1034"/>
      <c r="BQ214" s="1034"/>
      <c r="BR214" s="1034"/>
      <c r="BS214" s="387"/>
    </row>
    <row r="215" spans="1:71" s="389" customFormat="1" ht="15" hidden="1" outlineLevel="1">
      <c r="A215" s="387" t="s">
        <v>495</v>
      </c>
      <c r="B215" s="473"/>
      <c r="C215" s="1034"/>
      <c r="D215" s="1034"/>
      <c r="E215" s="1034"/>
      <c r="F215" s="1034"/>
      <c r="G215" s="1035">
        <v>1085</v>
      </c>
      <c r="H215" s="932">
        <v>267</v>
      </c>
      <c r="I215" s="932">
        <v>283</v>
      </c>
      <c r="J215" s="932">
        <v>262</v>
      </c>
      <c r="K215" s="932">
        <v>262</v>
      </c>
      <c r="L215" s="1036">
        <f t="shared" si="535"/>
        <v>1074</v>
      </c>
      <c r="M215" s="932">
        <v>268</v>
      </c>
      <c r="N215" s="932">
        <v>300</v>
      </c>
      <c r="O215" s="932">
        <v>277</v>
      </c>
      <c r="P215" s="932">
        <v>266</v>
      </c>
      <c r="Q215" s="1036">
        <f t="shared" si="536"/>
        <v>1111</v>
      </c>
      <c r="R215" s="474"/>
      <c r="S215" s="474"/>
      <c r="T215" s="474"/>
      <c r="U215" s="474"/>
      <c r="V215" s="1034"/>
      <c r="W215" s="474"/>
      <c r="X215" s="474"/>
      <c r="Y215" s="474"/>
      <c r="Z215" s="474"/>
      <c r="AA215" s="1034"/>
      <c r="AB215" s="474"/>
      <c r="AC215" s="474"/>
      <c r="AD215" s="474"/>
      <c r="AE215" s="474"/>
      <c r="AF215" s="1034"/>
      <c r="AG215" s="474"/>
      <c r="AH215" s="474"/>
      <c r="AI215" s="474"/>
      <c r="AJ215" s="474"/>
      <c r="AK215" s="1034"/>
      <c r="AL215" s="474"/>
      <c r="AM215" s="474"/>
      <c r="AN215" s="474"/>
      <c r="AO215" s="474"/>
      <c r="AP215" s="1034"/>
      <c r="AQ215" s="474"/>
      <c r="AR215" s="474"/>
      <c r="AS215" s="474"/>
      <c r="AT215" s="474"/>
      <c r="AU215" s="1034"/>
      <c r="AV215" s="474"/>
      <c r="AW215" s="474"/>
      <c r="AX215" s="474"/>
      <c r="AY215" s="474"/>
      <c r="AZ215" s="1034"/>
      <c r="BA215" s="474"/>
      <c r="BB215" s="474"/>
      <c r="BC215" s="474"/>
      <c r="BD215" s="474"/>
      <c r="BE215" s="1034"/>
      <c r="BF215" s="474"/>
      <c r="BG215" s="474"/>
      <c r="BH215" s="805"/>
      <c r="BI215" s="474"/>
      <c r="BJ215" s="1034"/>
      <c r="BK215" s="474"/>
      <c r="BL215" s="474"/>
      <c r="BM215" s="474"/>
      <c r="BN215" s="474"/>
      <c r="BO215" s="1034"/>
      <c r="BP215" s="1034"/>
      <c r="BQ215" s="1034"/>
      <c r="BR215" s="1034"/>
      <c r="BS215" s="387"/>
    </row>
    <row r="216" spans="1:71" s="389" customFormat="1" ht="15" hidden="1" outlineLevel="1">
      <c r="A216" s="390" t="s">
        <v>439</v>
      </c>
      <c r="B216" s="475"/>
      <c r="C216" s="1037"/>
      <c r="D216" s="1037"/>
      <c r="E216" s="1037"/>
      <c r="F216" s="1037"/>
      <c r="G216" s="1038">
        <v>0</v>
      </c>
      <c r="H216" s="476"/>
      <c r="I216" s="476"/>
      <c r="J216" s="476"/>
      <c r="K216" s="476"/>
      <c r="L216" s="1039">
        <f t="shared" si="535"/>
        <v>0</v>
      </c>
      <c r="M216" s="476"/>
      <c r="N216" s="476"/>
      <c r="O216" s="476"/>
      <c r="P216" s="476"/>
      <c r="Q216" s="1039">
        <f t="shared" si="536"/>
        <v>0</v>
      </c>
      <c r="R216" s="935">
        <v>410</v>
      </c>
      <c r="S216" s="935">
        <v>521</v>
      </c>
      <c r="T216" s="935">
        <v>454</v>
      </c>
      <c r="U216" s="935">
        <v>394</v>
      </c>
      <c r="V216" s="1039">
        <f>SUM(R216,S216,T216,U216)</f>
        <v>1779</v>
      </c>
      <c r="W216" s="935">
        <v>386</v>
      </c>
      <c r="X216" s="935">
        <v>496</v>
      </c>
      <c r="Y216" s="935">
        <v>428</v>
      </c>
      <c r="Z216" s="935">
        <v>381</v>
      </c>
      <c r="AA216" s="1039">
        <f>SUM(W216,X216,Y216,Z216)</f>
        <v>1691</v>
      </c>
      <c r="AB216" s="935">
        <v>380</v>
      </c>
      <c r="AC216" s="935">
        <v>518</v>
      </c>
      <c r="AD216" s="935">
        <v>485</v>
      </c>
      <c r="AE216" s="935">
        <v>422</v>
      </c>
      <c r="AF216" s="1039">
        <f>SUM(AB216,AC216,AD216,AE216)</f>
        <v>1805</v>
      </c>
      <c r="AG216" s="935">
        <v>387</v>
      </c>
      <c r="AH216" s="935">
        <v>588</v>
      </c>
      <c r="AI216" s="935">
        <v>553</v>
      </c>
      <c r="AJ216" s="935">
        <v>437</v>
      </c>
      <c r="AK216" s="1039">
        <f>SUM(AG216,AH216,AI216,AJ216)</f>
        <v>1965</v>
      </c>
      <c r="AL216" s="935">
        <v>428</v>
      </c>
      <c r="AM216" s="935">
        <v>585</v>
      </c>
      <c r="AN216" s="935">
        <v>602</v>
      </c>
      <c r="AO216" s="390">
        <f>AP216-SUM(AL216,AM216,AN216)</f>
        <v>471</v>
      </c>
      <c r="AP216" s="1038">
        <v>2086</v>
      </c>
      <c r="AQ216" s="935">
        <v>445</v>
      </c>
      <c r="AR216" s="935">
        <v>647</v>
      </c>
      <c r="AS216" s="935">
        <v>638</v>
      </c>
      <c r="AT216" s="390">
        <f>AU216-SUM(AQ216,AR216,AS216)</f>
        <v>535</v>
      </c>
      <c r="AU216" s="1038">
        <v>2265</v>
      </c>
      <c r="AV216" s="935">
        <v>497</v>
      </c>
      <c r="AW216" s="935">
        <v>690</v>
      </c>
      <c r="AX216" s="935">
        <v>702</v>
      </c>
      <c r="AY216" s="390">
        <f>AZ216-SUM(AV216,AW216,AX216)</f>
        <v>578</v>
      </c>
      <c r="AZ216" s="1038">
        <v>2467</v>
      </c>
      <c r="BA216" s="935">
        <v>590</v>
      </c>
      <c r="BB216" s="935">
        <v>862</v>
      </c>
      <c r="BC216" s="935">
        <v>874</v>
      </c>
      <c r="BD216" s="390">
        <f>BE216-SUM(BA216,BB216,BC216)</f>
        <v>682</v>
      </c>
      <c r="BE216" s="1038">
        <v>3008</v>
      </c>
      <c r="BF216" s="935">
        <v>642</v>
      </c>
      <c r="BG216" s="935">
        <v>912</v>
      </c>
      <c r="BH216" s="936">
        <v>896</v>
      </c>
      <c r="BI216" s="476"/>
      <c r="BJ216" s="1037"/>
      <c r="BK216" s="476"/>
      <c r="BL216" s="476"/>
      <c r="BM216" s="476"/>
      <c r="BN216" s="476"/>
      <c r="BO216" s="1037"/>
      <c r="BP216" s="1037"/>
      <c r="BQ216" s="1037"/>
      <c r="BR216" s="1037"/>
      <c r="BS216" s="387"/>
    </row>
    <row r="217" spans="1:71" s="392" customFormat="1" ht="15" hidden="1" outlineLevel="1">
      <c r="A217" s="264" t="s">
        <v>440</v>
      </c>
      <c r="B217" s="626"/>
      <c r="C217" s="1006"/>
      <c r="D217" s="1006"/>
      <c r="E217" s="1006"/>
      <c r="F217" s="1006"/>
      <c r="G217" s="1040">
        <f t="shared" si="537" ref="G217:AM217">SUM(G211:G216)</f>
        <v>12233</v>
      </c>
      <c r="H217" s="264">
        <f t="shared" si="537"/>
        <v>3304</v>
      </c>
      <c r="I217" s="264">
        <f t="shared" si="537"/>
        <v>3101</v>
      </c>
      <c r="J217" s="264">
        <f t="shared" si="537"/>
        <v>3079</v>
      </c>
      <c r="K217" s="264">
        <f t="shared" si="537"/>
        <v>3031</v>
      </c>
      <c r="L217" s="1040">
        <f t="shared" si="537"/>
        <v>12515</v>
      </c>
      <c r="M217" s="264">
        <f t="shared" si="537"/>
        <v>3355</v>
      </c>
      <c r="N217" s="264">
        <f t="shared" si="537"/>
        <v>3140</v>
      </c>
      <c r="O217" s="264">
        <f t="shared" si="537"/>
        <v>3193</v>
      </c>
      <c r="P217" s="264">
        <f t="shared" si="537"/>
        <v>3053</v>
      </c>
      <c r="Q217" s="1040">
        <f t="shared" si="537"/>
        <v>12741</v>
      </c>
      <c r="R217" s="264">
        <f t="shared" si="537"/>
        <v>3517</v>
      </c>
      <c r="S217" s="264">
        <f t="shared" si="537"/>
        <v>3205</v>
      </c>
      <c r="T217" s="264">
        <f t="shared" si="537"/>
        <v>3180</v>
      </c>
      <c r="U217" s="264">
        <f t="shared" si="537"/>
        <v>3043</v>
      </c>
      <c r="V217" s="1040">
        <f t="shared" si="537"/>
        <v>12945</v>
      </c>
      <c r="W217" s="264">
        <f t="shared" si="537"/>
        <v>3606</v>
      </c>
      <c r="X217" s="264">
        <f t="shared" si="537"/>
        <v>3255</v>
      </c>
      <c r="Y217" s="264">
        <f t="shared" si="537"/>
        <v>3232</v>
      </c>
      <c r="Z217" s="264">
        <f t="shared" si="537"/>
        <v>3164</v>
      </c>
      <c r="AA217" s="1040">
        <f t="shared" si="537"/>
        <v>13257</v>
      </c>
      <c r="AB217" s="264">
        <f t="shared" si="537"/>
        <v>3724</v>
      </c>
      <c r="AC217" s="264">
        <f t="shared" si="537"/>
        <v>3463</v>
      </c>
      <c r="AD217" s="264">
        <f t="shared" si="537"/>
        <v>3421</v>
      </c>
      <c r="AE217" s="264">
        <f t="shared" si="537"/>
        <v>3264</v>
      </c>
      <c r="AF217" s="1040">
        <f t="shared" si="537"/>
        <v>13872</v>
      </c>
      <c r="AG217" s="264">
        <f t="shared" si="537"/>
        <v>3886</v>
      </c>
      <c r="AH217" s="264">
        <f t="shared" si="537"/>
        <v>3576</v>
      </c>
      <c r="AI217" s="264">
        <f t="shared" si="537"/>
        <v>3671</v>
      </c>
      <c r="AJ217" s="264">
        <f t="shared" si="537"/>
        <v>3424</v>
      </c>
      <c r="AK217" s="1040">
        <f t="shared" si="537"/>
        <v>14557</v>
      </c>
      <c r="AL217" s="264">
        <f t="shared" si="537"/>
        <v>3936</v>
      </c>
      <c r="AM217" s="264">
        <f t="shared" si="537"/>
        <v>3494</v>
      </c>
      <c r="AN217" s="264">
        <f>SUM(AN211:AN216)</f>
        <v>3630</v>
      </c>
      <c r="AO217" s="264">
        <f t="shared" si="538" ref="AO217:AQ217">SUM(AO211:AO216)</f>
        <v>3354</v>
      </c>
      <c r="AP217" s="1040">
        <f t="shared" si="538"/>
        <v>14414</v>
      </c>
      <c r="AQ217" s="264">
        <f t="shared" si="538"/>
        <v>3848</v>
      </c>
      <c r="AR217" s="264">
        <f t="shared" si="539" ref="AR217:AW217">SUM(AR211:AR216)</f>
        <v>3673</v>
      </c>
      <c r="AS217" s="264">
        <f t="shared" si="539"/>
        <v>3803</v>
      </c>
      <c r="AT217" s="264">
        <f t="shared" si="539"/>
        <v>3694</v>
      </c>
      <c r="AU217" s="1040">
        <f t="shared" si="539"/>
        <v>15018</v>
      </c>
      <c r="AV217" s="264">
        <f t="shared" si="539"/>
        <v>4235</v>
      </c>
      <c r="AW217" s="264">
        <f t="shared" si="539"/>
        <v>4066</v>
      </c>
      <c r="AX217" s="264">
        <f t="shared" si="540" ref="AX217:BC217">SUM(AX211:AX216)</f>
        <v>4153</v>
      </c>
      <c r="AY217" s="264">
        <f t="shared" si="540"/>
        <v>4120</v>
      </c>
      <c r="AZ217" s="1040">
        <f t="shared" si="540"/>
        <v>16574</v>
      </c>
      <c r="BA217" s="264">
        <f t="shared" si="540"/>
        <v>4718</v>
      </c>
      <c r="BB217" s="264">
        <f t="shared" si="540"/>
        <v>4640</v>
      </c>
      <c r="BC217" s="264">
        <f t="shared" si="540"/>
        <v>4695</v>
      </c>
      <c r="BD217" s="264">
        <f>SUM(BD211:BD216)</f>
        <v>4612</v>
      </c>
      <c r="BE217" s="1040">
        <f>SUM(BE211:BE216)</f>
        <v>18665</v>
      </c>
      <c r="BF217" s="264">
        <f>SUM(BF211:BF216)</f>
        <v>5156</v>
      </c>
      <c r="BG217" s="264">
        <f>SUM(BG211:BG216)</f>
        <v>4968</v>
      </c>
      <c r="BH217" s="806">
        <f>SUM(BH211:BH216)</f>
        <v>5075</v>
      </c>
      <c r="BI217" s="471"/>
      <c r="BJ217" s="1006"/>
      <c r="BK217" s="471"/>
      <c r="BL217" s="471"/>
      <c r="BM217" s="471"/>
      <c r="BN217" s="471"/>
      <c r="BO217" s="1006"/>
      <c r="BP217" s="1006"/>
      <c r="BQ217" s="1006"/>
      <c r="BR217" s="1006"/>
      <c r="BS217" s="264"/>
    </row>
    <row r="218" spans="1:71" s="392" customFormat="1" ht="15" hidden="1" outlineLevel="1">
      <c r="A218" s="209" t="s">
        <v>441</v>
      </c>
      <c r="B218" s="627"/>
      <c r="C218" s="1007"/>
      <c r="D218" s="1007"/>
      <c r="E218" s="1007"/>
      <c r="F218" s="1007"/>
      <c r="G218" s="1041">
        <v>1279</v>
      </c>
      <c r="H218" s="938">
        <v>468</v>
      </c>
      <c r="I218" s="938">
        <v>628</v>
      </c>
      <c r="J218" s="938">
        <v>481</v>
      </c>
      <c r="K218" s="938">
        <v>544</v>
      </c>
      <c r="L218" s="1042">
        <f>SUM(H218,I218,J218,K218)</f>
        <v>2121</v>
      </c>
      <c r="M218" s="938">
        <v>442</v>
      </c>
      <c r="N218" s="938">
        <v>539</v>
      </c>
      <c r="O218" s="938">
        <v>397</v>
      </c>
      <c r="P218" s="938">
        <v>464</v>
      </c>
      <c r="Q218" s="1042">
        <f>SUM(M218,N218,O218,P218)</f>
        <v>1842</v>
      </c>
      <c r="R218" s="938">
        <v>243</v>
      </c>
      <c r="S218" s="938">
        <v>267</v>
      </c>
      <c r="T218" s="938">
        <v>208</v>
      </c>
      <c r="U218" s="938">
        <v>237</v>
      </c>
      <c r="V218" s="1042">
        <f>SUM(R218,S218,T218,U218)</f>
        <v>955</v>
      </c>
      <c r="W218" s="938">
        <v>249</v>
      </c>
      <c r="X218" s="938">
        <v>289</v>
      </c>
      <c r="Y218" s="938">
        <v>202</v>
      </c>
      <c r="Z218" s="938">
        <v>273</v>
      </c>
      <c r="AA218" s="1042">
        <f>SUM(W218,X218,Y218,Z218)</f>
        <v>1013</v>
      </c>
      <c r="AB218" s="938">
        <v>270</v>
      </c>
      <c r="AC218" s="938">
        <v>318</v>
      </c>
      <c r="AD218" s="938">
        <v>227</v>
      </c>
      <c r="AE218" s="938">
        <v>269</v>
      </c>
      <c r="AF218" s="1042">
        <f>SUM(AB218,AC218,AD218,AE218)</f>
        <v>1084</v>
      </c>
      <c r="AG218" s="938">
        <v>277</v>
      </c>
      <c r="AH218" s="938">
        <v>298</v>
      </c>
      <c r="AI218" s="938">
        <v>218</v>
      </c>
      <c r="AJ218" s="938">
        <v>279</v>
      </c>
      <c r="AK218" s="1042">
        <f>SUM(AG218,AH218,AI218,AJ218)</f>
        <v>1072</v>
      </c>
      <c r="AL218" s="938">
        <v>254</v>
      </c>
      <c r="AM218" s="938">
        <v>283</v>
      </c>
      <c r="AN218" s="938">
        <v>203</v>
      </c>
      <c r="AO218" s="209">
        <f>AP218-SUM(AL218,AM218,AN218)</f>
        <v>277</v>
      </c>
      <c r="AP218" s="1041">
        <v>1017</v>
      </c>
      <c r="AQ218" s="938">
        <v>277</v>
      </c>
      <c r="AR218" s="938">
        <v>307</v>
      </c>
      <c r="AS218" s="938">
        <v>218</v>
      </c>
      <c r="AT218" s="209">
        <f>AU218-SUM(AQ218,AR218,AS218)</f>
        <v>272</v>
      </c>
      <c r="AU218" s="1041">
        <v>1074</v>
      </c>
      <c r="AV218" s="938">
        <v>267</v>
      </c>
      <c r="AW218" s="938">
        <v>307</v>
      </c>
      <c r="AX218" s="938">
        <v>217</v>
      </c>
      <c r="AY218" s="209">
        <f>AZ218-SUM(AV218,AW218,AX218)</f>
        <v>270</v>
      </c>
      <c r="AZ218" s="1041">
        <v>1061</v>
      </c>
      <c r="BA218" s="938">
        <v>439</v>
      </c>
      <c r="BB218" s="938">
        <v>535</v>
      </c>
      <c r="BC218" s="938">
        <v>385</v>
      </c>
      <c r="BD218" s="209">
        <f>BE218-SUM(BA218,BB218,BC218)</f>
        <v>406</v>
      </c>
      <c r="BE218" s="1041">
        <v>1765</v>
      </c>
      <c r="BF218" s="938">
        <v>440</v>
      </c>
      <c r="BG218" s="938">
        <v>571</v>
      </c>
      <c r="BH218" s="939">
        <v>442</v>
      </c>
      <c r="BI218" s="566"/>
      <c r="BJ218" s="1007"/>
      <c r="BK218" s="566"/>
      <c r="BL218" s="566"/>
      <c r="BM218" s="566"/>
      <c r="BN218" s="566"/>
      <c r="BO218" s="1007"/>
      <c r="BP218" s="1007"/>
      <c r="BQ218" s="1007"/>
      <c r="BR218" s="1007"/>
      <c r="BS218" s="264"/>
    </row>
    <row r="219" spans="1:71" s="45" customFormat="1" ht="15" hidden="1" outlineLevel="1">
      <c r="A219" s="197" t="s">
        <v>442</v>
      </c>
      <c r="B219" s="470"/>
      <c r="C219" s="1009"/>
      <c r="D219" s="1009"/>
      <c r="E219" s="1009"/>
      <c r="F219" s="1009"/>
      <c r="G219" s="1008">
        <f t="shared" si="541" ref="G219:AM219">SUM(G217:G218)</f>
        <v>13512</v>
      </c>
      <c r="H219" s="185">
        <f t="shared" si="541"/>
        <v>3772</v>
      </c>
      <c r="I219" s="185">
        <f t="shared" si="541"/>
        <v>3729</v>
      </c>
      <c r="J219" s="185">
        <f t="shared" si="541"/>
        <v>3560</v>
      </c>
      <c r="K219" s="185">
        <f t="shared" si="541"/>
        <v>3575</v>
      </c>
      <c r="L219" s="1008">
        <f t="shared" si="541"/>
        <v>14636</v>
      </c>
      <c r="M219" s="185">
        <f t="shared" si="541"/>
        <v>3797</v>
      </c>
      <c r="N219" s="185">
        <f t="shared" si="541"/>
        <v>3679</v>
      </c>
      <c r="O219" s="185">
        <f t="shared" si="541"/>
        <v>3590</v>
      </c>
      <c r="P219" s="185">
        <f t="shared" si="541"/>
        <v>3517</v>
      </c>
      <c r="Q219" s="1008">
        <f t="shared" si="541"/>
        <v>14583</v>
      </c>
      <c r="R219" s="185">
        <f t="shared" si="541"/>
        <v>3760</v>
      </c>
      <c r="S219" s="185">
        <f t="shared" si="541"/>
        <v>3472</v>
      </c>
      <c r="T219" s="185">
        <f t="shared" si="541"/>
        <v>3388</v>
      </c>
      <c r="U219" s="185">
        <f t="shared" si="541"/>
        <v>3280</v>
      </c>
      <c r="V219" s="1008">
        <f t="shared" si="541"/>
        <v>13900</v>
      </c>
      <c r="W219" s="185">
        <f t="shared" si="541"/>
        <v>3855</v>
      </c>
      <c r="X219" s="185">
        <f t="shared" si="541"/>
        <v>3544</v>
      </c>
      <c r="Y219" s="185">
        <f t="shared" si="541"/>
        <v>3434</v>
      </c>
      <c r="Z219" s="185">
        <f t="shared" si="541"/>
        <v>3437</v>
      </c>
      <c r="AA219" s="1008">
        <f t="shared" si="541"/>
        <v>14270</v>
      </c>
      <c r="AB219" s="185">
        <f t="shared" si="541"/>
        <v>3994</v>
      </c>
      <c r="AC219" s="185">
        <f t="shared" si="541"/>
        <v>3781</v>
      </c>
      <c r="AD219" s="185">
        <f t="shared" si="541"/>
        <v>3648</v>
      </c>
      <c r="AE219" s="185">
        <f t="shared" si="541"/>
        <v>3533</v>
      </c>
      <c r="AF219" s="1008">
        <f t="shared" si="541"/>
        <v>14956</v>
      </c>
      <c r="AG219" s="185">
        <f t="shared" si="541"/>
        <v>4163</v>
      </c>
      <c r="AH219" s="185">
        <f t="shared" si="541"/>
        <v>3874</v>
      </c>
      <c r="AI219" s="185">
        <f t="shared" si="541"/>
        <v>3889</v>
      </c>
      <c r="AJ219" s="185">
        <f t="shared" si="541"/>
        <v>3703</v>
      </c>
      <c r="AK219" s="1008">
        <f t="shared" si="541"/>
        <v>15629</v>
      </c>
      <c r="AL219" s="185">
        <f t="shared" si="541"/>
        <v>4190</v>
      </c>
      <c r="AM219" s="185">
        <f t="shared" si="541"/>
        <v>3777</v>
      </c>
      <c r="AN219" s="185">
        <f>SUM(AN217:AN218)</f>
        <v>3833</v>
      </c>
      <c r="AO219" s="185">
        <f t="shared" si="542" ref="AO219:AQ219">SUM(AO217:AO218)</f>
        <v>3631</v>
      </c>
      <c r="AP219" s="1008">
        <f t="shared" si="542"/>
        <v>15431</v>
      </c>
      <c r="AQ219" s="185">
        <f t="shared" si="542"/>
        <v>4125</v>
      </c>
      <c r="AR219" s="185">
        <f t="shared" si="543" ref="AR219:AW219">SUM(AR217:AR218)</f>
        <v>3980</v>
      </c>
      <c r="AS219" s="185">
        <f t="shared" si="543"/>
        <v>4021</v>
      </c>
      <c r="AT219" s="185">
        <f t="shared" si="543"/>
        <v>3966</v>
      </c>
      <c r="AU219" s="1008">
        <f t="shared" si="543"/>
        <v>16092</v>
      </c>
      <c r="AV219" s="185">
        <f t="shared" si="543"/>
        <v>4502</v>
      </c>
      <c r="AW219" s="185">
        <f t="shared" si="543"/>
        <v>4373</v>
      </c>
      <c r="AX219" s="185">
        <f t="shared" si="544" ref="AX219:BC219">SUM(AX217:AX218)</f>
        <v>4370</v>
      </c>
      <c r="AY219" s="185">
        <f t="shared" si="544"/>
        <v>4390</v>
      </c>
      <c r="AZ219" s="1008">
        <f t="shared" si="544"/>
        <v>17635</v>
      </c>
      <c r="BA219" s="185">
        <f t="shared" si="544"/>
        <v>5157</v>
      </c>
      <c r="BB219" s="185">
        <f t="shared" si="544"/>
        <v>5175</v>
      </c>
      <c r="BC219" s="185">
        <f t="shared" si="544"/>
        <v>5080</v>
      </c>
      <c r="BD219" s="185">
        <f>SUM(BD217:BD218)</f>
        <v>5018</v>
      </c>
      <c r="BE219" s="1008">
        <f>SUM(BE217:BE218)</f>
        <v>20430</v>
      </c>
      <c r="BF219" s="185">
        <f>SUM(BF217:BF218)</f>
        <v>5596</v>
      </c>
      <c r="BG219" s="185">
        <f>SUM(BG217:BG218)</f>
        <v>5539</v>
      </c>
      <c r="BH219" s="749">
        <f>SUM(BH217:BH218)</f>
        <v>5517</v>
      </c>
      <c r="BI219" s="199"/>
      <c r="BJ219" s="1009"/>
      <c r="BK219" s="199"/>
      <c r="BL219" s="199"/>
      <c r="BM219" s="199"/>
      <c r="BN219" s="199"/>
      <c r="BO219" s="1009"/>
      <c r="BP219" s="1009"/>
      <c r="BQ219" s="1009"/>
      <c r="BR219" s="1009"/>
      <c r="BS219" s="185"/>
    </row>
    <row r="220" spans="1:71" s="45" customFormat="1" ht="15" hidden="1" outlineLevel="1">
      <c r="A220" s="477"/>
      <c r="B220" s="470"/>
      <c r="C220" s="1009"/>
      <c r="D220" s="1009"/>
      <c r="E220" s="1009"/>
      <c r="F220" s="1009"/>
      <c r="G220" s="1009"/>
      <c r="H220" s="199"/>
      <c r="I220" s="199"/>
      <c r="J220" s="199"/>
      <c r="K220" s="199"/>
      <c r="L220" s="1009"/>
      <c r="M220" s="199"/>
      <c r="N220" s="199"/>
      <c r="O220" s="199"/>
      <c r="P220" s="199"/>
      <c r="Q220" s="1009"/>
      <c r="R220" s="199"/>
      <c r="S220" s="199"/>
      <c r="T220" s="199"/>
      <c r="U220" s="199"/>
      <c r="V220" s="1009"/>
      <c r="W220" s="199"/>
      <c r="X220" s="199"/>
      <c r="Y220" s="199"/>
      <c r="Z220" s="199"/>
      <c r="AA220" s="1009"/>
      <c r="AB220" s="199"/>
      <c r="AC220" s="199"/>
      <c r="AD220" s="199"/>
      <c r="AE220" s="199"/>
      <c r="AF220" s="1009"/>
      <c r="AG220" s="199"/>
      <c r="AH220" s="199"/>
      <c r="AI220" s="199"/>
      <c r="AJ220" s="199"/>
      <c r="AK220" s="1009"/>
      <c r="AL220" s="199"/>
      <c r="AM220" s="199"/>
      <c r="AN220" s="199"/>
      <c r="AO220" s="199"/>
      <c r="AP220" s="1009"/>
      <c r="AQ220" s="199"/>
      <c r="AR220" s="199"/>
      <c r="AS220" s="199"/>
      <c r="AT220" s="199"/>
      <c r="AU220" s="1009"/>
      <c r="AV220" s="199"/>
      <c r="AW220" s="199"/>
      <c r="AX220" s="199"/>
      <c r="AY220" s="199"/>
      <c r="AZ220" s="1009"/>
      <c r="BA220" s="199"/>
      <c r="BB220" s="199"/>
      <c r="BC220" s="199"/>
      <c r="BD220" s="199"/>
      <c r="BE220" s="1009"/>
      <c r="BF220" s="199"/>
      <c r="BG220" s="199"/>
      <c r="BH220" s="554"/>
      <c r="BI220" s="199"/>
      <c r="BJ220" s="1009"/>
      <c r="BK220" s="199"/>
      <c r="BL220" s="199"/>
      <c r="BM220" s="199"/>
      <c r="BN220" s="199"/>
      <c r="BO220" s="1009"/>
      <c r="BP220" s="1009"/>
      <c r="BQ220" s="1009"/>
      <c r="BR220" s="1009"/>
      <c r="BS220" s="185"/>
    </row>
    <row r="221" spans="1:71" s="261" customFormat="1" ht="15" hidden="1" outlineLevel="1">
      <c r="A221" s="387" t="s">
        <v>443</v>
      </c>
      <c r="B221" s="468"/>
      <c r="C221" s="1032">
        <v>2486</v>
      </c>
      <c r="D221" s="1032">
        <v>2586</v>
      </c>
      <c r="E221" s="1032">
        <v>2959</v>
      </c>
      <c r="F221" s="1032">
        <v>3400</v>
      </c>
      <c r="G221" s="1032">
        <v>3642</v>
      </c>
      <c r="H221" s="924">
        <v>1076</v>
      </c>
      <c r="I221" s="924">
        <v>904</v>
      </c>
      <c r="J221" s="924">
        <v>921</v>
      </c>
      <c r="K221" s="924">
        <v>893</v>
      </c>
      <c r="L221" s="993">
        <f t="shared" si="545" ref="L221:L226">SUM(H221,I221,J221,K221)</f>
        <v>3794</v>
      </c>
      <c r="M221" s="924">
        <v>1142</v>
      </c>
      <c r="N221" s="924">
        <v>906</v>
      </c>
      <c r="O221" s="924">
        <v>958</v>
      </c>
      <c r="P221" s="924">
        <v>909</v>
      </c>
      <c r="Q221" s="993">
        <f t="shared" si="546" ref="Q221:Q226">SUM(M221,N221,O221,P221)</f>
        <v>3915</v>
      </c>
      <c r="R221" s="924">
        <v>1198</v>
      </c>
      <c r="S221" s="924">
        <v>916</v>
      </c>
      <c r="T221" s="924">
        <v>939</v>
      </c>
      <c r="U221" s="924">
        <v>892</v>
      </c>
      <c r="V221" s="993">
        <f t="shared" si="547" ref="V221:V226">SUM(R221,S221,T221,U221)</f>
        <v>3945</v>
      </c>
      <c r="W221" s="924">
        <v>1207</v>
      </c>
      <c r="X221" s="924">
        <v>925</v>
      </c>
      <c r="Y221" s="924">
        <v>918</v>
      </c>
      <c r="Z221" s="924">
        <v>876</v>
      </c>
      <c r="AA221" s="993">
        <f t="shared" si="548" ref="AA221:AA226">SUM(W221,X221,Y221,Z221)</f>
        <v>3926</v>
      </c>
      <c r="AB221" s="924">
        <v>1190</v>
      </c>
      <c r="AC221" s="924">
        <v>935</v>
      </c>
      <c r="AD221" s="924">
        <v>887</v>
      </c>
      <c r="AE221" s="924">
        <v>828</v>
      </c>
      <c r="AF221" s="993">
        <f t="shared" si="549" ref="AF221:AF226">SUM(AB221,AC221,AD221,AE221)</f>
        <v>3840</v>
      </c>
      <c r="AG221" s="924">
        <v>1191</v>
      </c>
      <c r="AH221" s="924">
        <v>893</v>
      </c>
      <c r="AI221" s="924">
        <v>905</v>
      </c>
      <c r="AJ221" s="924">
        <v>817</v>
      </c>
      <c r="AK221" s="993">
        <f t="shared" si="550" ref="AK221:AK226">SUM(AG221,AH221,AI221,AJ221)</f>
        <v>3806</v>
      </c>
      <c r="AL221" s="924">
        <v>1096</v>
      </c>
      <c r="AM221" s="924">
        <v>780</v>
      </c>
      <c r="AN221" s="924">
        <v>774</v>
      </c>
      <c r="AO221" s="265">
        <f t="shared" si="551" ref="AO221:AO226">AP221-SUM(AL221,AM221,AN221)</f>
        <v>699</v>
      </c>
      <c r="AP221" s="1032">
        <v>3349</v>
      </c>
      <c r="AQ221" s="924">
        <v>948</v>
      </c>
      <c r="AR221" s="924">
        <v>754</v>
      </c>
      <c r="AS221" s="924">
        <v>751</v>
      </c>
      <c r="AT221" s="265">
        <f t="shared" si="552" ref="AT221:AT226">AU221-SUM(AQ221,AR221,AS221)</f>
        <v>722</v>
      </c>
      <c r="AU221" s="1032">
        <v>3175</v>
      </c>
      <c r="AV221" s="924">
        <v>1008</v>
      </c>
      <c r="AW221" s="924">
        <v>823</v>
      </c>
      <c r="AX221" s="924">
        <v>787</v>
      </c>
      <c r="AY221" s="265">
        <f t="shared" si="553" ref="AY221:AY226">AZ221-SUM(AV221,AW221,AX221)</f>
        <v>779</v>
      </c>
      <c r="AZ221" s="1032">
        <v>3397</v>
      </c>
      <c r="BA221" s="924">
        <v>1051</v>
      </c>
      <c r="BB221" s="924">
        <v>852</v>
      </c>
      <c r="BC221" s="924">
        <v>777</v>
      </c>
      <c r="BD221" s="265">
        <f t="shared" si="554" ref="BD221:BD226">BE221-SUM(BA221,BB221,BC221)</f>
        <v>812</v>
      </c>
      <c r="BE221" s="1032">
        <v>3492</v>
      </c>
      <c r="BF221" s="924">
        <v>1019</v>
      </c>
      <c r="BG221" s="924">
        <v>847</v>
      </c>
      <c r="BH221" s="925">
        <v>795</v>
      </c>
      <c r="BI221" s="210"/>
      <c r="BJ221" s="994"/>
      <c r="BK221" s="210"/>
      <c r="BL221" s="210"/>
      <c r="BM221" s="210"/>
      <c r="BN221" s="210"/>
      <c r="BO221" s="994"/>
      <c r="BP221" s="994"/>
      <c r="BQ221" s="994"/>
      <c r="BR221" s="994"/>
      <c r="BS221" s="265"/>
    </row>
    <row r="222" spans="1:71" s="261" customFormat="1" ht="15" hidden="1" outlineLevel="1">
      <c r="A222" s="387" t="s">
        <v>444</v>
      </c>
      <c r="B222" s="468"/>
      <c r="C222" s="1032">
        <v>1927</v>
      </c>
      <c r="D222" s="1032">
        <v>1910</v>
      </c>
      <c r="E222" s="1032">
        <v>1955</v>
      </c>
      <c r="F222" s="1032">
        <v>1924</v>
      </c>
      <c r="G222" s="1032">
        <v>1897</v>
      </c>
      <c r="H222" s="924">
        <v>490</v>
      </c>
      <c r="I222" s="924">
        <v>456</v>
      </c>
      <c r="J222" s="924">
        <v>484</v>
      </c>
      <c r="K222" s="924">
        <v>462</v>
      </c>
      <c r="L222" s="993">
        <f t="shared" si="545"/>
        <v>1892</v>
      </c>
      <c r="M222" s="924">
        <v>503</v>
      </c>
      <c r="N222" s="924">
        <v>487</v>
      </c>
      <c r="O222" s="924">
        <v>495</v>
      </c>
      <c r="P222" s="924">
        <v>475</v>
      </c>
      <c r="Q222" s="993">
        <f t="shared" si="546"/>
        <v>1960</v>
      </c>
      <c r="R222" s="924">
        <v>544</v>
      </c>
      <c r="S222" s="924">
        <v>517</v>
      </c>
      <c r="T222" s="924">
        <v>502</v>
      </c>
      <c r="U222" s="924">
        <v>474</v>
      </c>
      <c r="V222" s="993">
        <f t="shared" si="547"/>
        <v>2037</v>
      </c>
      <c r="W222" s="924">
        <v>581</v>
      </c>
      <c r="X222" s="924">
        <v>543</v>
      </c>
      <c r="Y222" s="924">
        <v>549</v>
      </c>
      <c r="Z222" s="924">
        <v>546</v>
      </c>
      <c r="AA222" s="993">
        <f t="shared" si="548"/>
        <v>2219</v>
      </c>
      <c r="AB222" s="924">
        <v>651</v>
      </c>
      <c r="AC222" s="924">
        <v>629</v>
      </c>
      <c r="AD222" s="924">
        <v>625</v>
      </c>
      <c r="AE222" s="924">
        <v>613</v>
      </c>
      <c r="AF222" s="993">
        <f t="shared" si="549"/>
        <v>2518</v>
      </c>
      <c r="AG222" s="924">
        <v>719</v>
      </c>
      <c r="AH222" s="924">
        <v>677</v>
      </c>
      <c r="AI222" s="924">
        <v>674</v>
      </c>
      <c r="AJ222" s="924">
        <v>666</v>
      </c>
      <c r="AK222" s="993">
        <f t="shared" si="550"/>
        <v>2736</v>
      </c>
      <c r="AL222" s="924">
        <v>755</v>
      </c>
      <c r="AM222" s="924">
        <v>667</v>
      </c>
      <c r="AN222" s="924">
        <v>689</v>
      </c>
      <c r="AO222" s="265">
        <f t="shared" si="551"/>
        <v>679</v>
      </c>
      <c r="AP222" s="1032">
        <v>2790</v>
      </c>
      <c r="AQ222" s="924">
        <v>762</v>
      </c>
      <c r="AR222" s="924">
        <v>715</v>
      </c>
      <c r="AS222" s="924">
        <v>716</v>
      </c>
      <c r="AT222" s="265">
        <f t="shared" si="552"/>
        <v>705</v>
      </c>
      <c r="AU222" s="1032">
        <v>2898</v>
      </c>
      <c r="AV222" s="924">
        <v>781</v>
      </c>
      <c r="AW222" s="924">
        <v>759</v>
      </c>
      <c r="AX222" s="924">
        <v>762</v>
      </c>
      <c r="AY222" s="265">
        <f t="shared" si="553"/>
        <v>759</v>
      </c>
      <c r="AZ222" s="1032">
        <v>3061</v>
      </c>
      <c r="BA222" s="924">
        <v>851</v>
      </c>
      <c r="BB222" s="924">
        <v>830</v>
      </c>
      <c r="BC222" s="924">
        <v>835</v>
      </c>
      <c r="BD222" s="265">
        <f t="shared" si="554"/>
        <v>830</v>
      </c>
      <c r="BE222" s="1032">
        <v>3346</v>
      </c>
      <c r="BF222" s="924">
        <v>964</v>
      </c>
      <c r="BG222" s="924">
        <v>923</v>
      </c>
      <c r="BH222" s="925">
        <v>937</v>
      </c>
      <c r="BI222" s="210"/>
      <c r="BJ222" s="994"/>
      <c r="BK222" s="210"/>
      <c r="BL222" s="210"/>
      <c r="BM222" s="210"/>
      <c r="BN222" s="210"/>
      <c r="BO222" s="994"/>
      <c r="BP222" s="994"/>
      <c r="BQ222" s="994"/>
      <c r="BR222" s="994"/>
      <c r="BS222" s="265"/>
    </row>
    <row r="223" spans="1:71" s="261" customFormat="1" ht="15" hidden="1" outlineLevel="1">
      <c r="A223" s="387" t="s">
        <v>445</v>
      </c>
      <c r="B223" s="468"/>
      <c r="C223" s="1032">
        <v>1727</v>
      </c>
      <c r="D223" s="1032">
        <v>1641</v>
      </c>
      <c r="E223" s="1032">
        <v>1595</v>
      </c>
      <c r="F223" s="1032">
        <v>1647</v>
      </c>
      <c r="G223" s="1032">
        <v>1748</v>
      </c>
      <c r="H223" s="924">
        <v>440</v>
      </c>
      <c r="I223" s="924">
        <v>505</v>
      </c>
      <c r="J223" s="924">
        <v>415</v>
      </c>
      <c r="K223" s="924">
        <v>433</v>
      </c>
      <c r="L223" s="993">
        <f t="shared" si="545"/>
        <v>1793</v>
      </c>
      <c r="M223" s="924">
        <v>392</v>
      </c>
      <c r="N223" s="924">
        <v>507</v>
      </c>
      <c r="O223" s="924">
        <v>453</v>
      </c>
      <c r="P223" s="924">
        <v>414</v>
      </c>
      <c r="Q223" s="993">
        <f t="shared" si="546"/>
        <v>1766</v>
      </c>
      <c r="R223" s="924">
        <v>406</v>
      </c>
      <c r="S223" s="924">
        <v>520</v>
      </c>
      <c r="T223" s="924">
        <v>437</v>
      </c>
      <c r="U223" s="924">
        <v>424</v>
      </c>
      <c r="V223" s="993">
        <f t="shared" si="547"/>
        <v>1787</v>
      </c>
      <c r="W223" s="924">
        <v>402</v>
      </c>
      <c r="X223" s="924">
        <v>506</v>
      </c>
      <c r="Y223" s="924">
        <v>441</v>
      </c>
      <c r="Z223" s="924">
        <v>423</v>
      </c>
      <c r="AA223" s="993">
        <f t="shared" si="548"/>
        <v>1772</v>
      </c>
      <c r="AB223" s="924">
        <v>391</v>
      </c>
      <c r="AC223" s="924">
        <v>536</v>
      </c>
      <c r="AD223" s="924">
        <v>492</v>
      </c>
      <c r="AE223" s="924">
        <v>448</v>
      </c>
      <c r="AF223" s="993">
        <f t="shared" si="549"/>
        <v>1867</v>
      </c>
      <c r="AG223" s="924">
        <v>389</v>
      </c>
      <c r="AH223" s="924">
        <v>583</v>
      </c>
      <c r="AI223" s="924">
        <v>568</v>
      </c>
      <c r="AJ223" s="924">
        <v>474</v>
      </c>
      <c r="AK223" s="993">
        <f t="shared" si="550"/>
        <v>2014</v>
      </c>
      <c r="AL223" s="924">
        <v>433</v>
      </c>
      <c r="AM223" s="924">
        <v>620</v>
      </c>
      <c r="AN223" s="924">
        <v>603</v>
      </c>
      <c r="AO223" s="265">
        <f t="shared" si="551"/>
        <v>507</v>
      </c>
      <c r="AP223" s="1032">
        <v>2163</v>
      </c>
      <c r="AQ223" s="924">
        <v>466</v>
      </c>
      <c r="AR223" s="924">
        <v>678</v>
      </c>
      <c r="AS223" s="924">
        <v>656</v>
      </c>
      <c r="AT223" s="265">
        <f t="shared" si="552"/>
        <v>608</v>
      </c>
      <c r="AU223" s="1032">
        <v>2408</v>
      </c>
      <c r="AV223" s="924">
        <v>551</v>
      </c>
      <c r="AW223" s="924">
        <v>763</v>
      </c>
      <c r="AX223" s="924">
        <v>756</v>
      </c>
      <c r="AY223" s="265">
        <f t="shared" si="553"/>
        <v>701</v>
      </c>
      <c r="AZ223" s="1032">
        <v>2771</v>
      </c>
      <c r="BA223" s="924">
        <v>693</v>
      </c>
      <c r="BB223" s="924">
        <v>988</v>
      </c>
      <c r="BC223" s="924">
        <v>968</v>
      </c>
      <c r="BD223" s="265">
        <f t="shared" si="554"/>
        <v>845</v>
      </c>
      <c r="BE223" s="1032">
        <v>3494</v>
      </c>
      <c r="BF223" s="924">
        <v>763</v>
      </c>
      <c r="BG223" s="924">
        <v>1054</v>
      </c>
      <c r="BH223" s="925">
        <v>1022</v>
      </c>
      <c r="BI223" s="210"/>
      <c r="BJ223" s="994"/>
      <c r="BK223" s="210"/>
      <c r="BL223" s="210"/>
      <c r="BM223" s="210"/>
      <c r="BN223" s="210"/>
      <c r="BO223" s="994"/>
      <c r="BP223" s="994"/>
      <c r="BQ223" s="994"/>
      <c r="BR223" s="994"/>
      <c r="BS223" s="265"/>
    </row>
    <row r="224" spans="1:71" s="261" customFormat="1" ht="15" hidden="1" outlineLevel="1">
      <c r="A224" s="387" t="s">
        <v>446</v>
      </c>
      <c r="B224" s="468"/>
      <c r="C224" s="1032">
        <v>1829</v>
      </c>
      <c r="D224" s="1032">
        <v>1726</v>
      </c>
      <c r="E224" s="1032">
        <v>1705</v>
      </c>
      <c r="F224" s="1032">
        <v>1765</v>
      </c>
      <c r="G224" s="1032">
        <v>1823</v>
      </c>
      <c r="H224" s="924">
        <v>469</v>
      </c>
      <c r="I224" s="924">
        <v>477</v>
      </c>
      <c r="J224" s="924">
        <v>478</v>
      </c>
      <c r="K224" s="924">
        <v>467</v>
      </c>
      <c r="L224" s="993">
        <f t="shared" si="545"/>
        <v>1891</v>
      </c>
      <c r="M224" s="924">
        <v>494</v>
      </c>
      <c r="N224" s="924">
        <v>474</v>
      </c>
      <c r="O224" s="924">
        <v>491</v>
      </c>
      <c r="P224" s="924">
        <v>480</v>
      </c>
      <c r="Q224" s="993">
        <f t="shared" si="546"/>
        <v>1939</v>
      </c>
      <c r="R224" s="924">
        <v>537</v>
      </c>
      <c r="S224" s="924">
        <v>471</v>
      </c>
      <c r="T224" s="924">
        <v>506</v>
      </c>
      <c r="U224" s="924">
        <v>473</v>
      </c>
      <c r="V224" s="993">
        <f t="shared" si="547"/>
        <v>1987</v>
      </c>
      <c r="W224" s="924">
        <v>558</v>
      </c>
      <c r="X224" s="924">
        <v>491</v>
      </c>
      <c r="Y224" s="924">
        <v>519</v>
      </c>
      <c r="Z224" s="924">
        <v>518</v>
      </c>
      <c r="AA224" s="993">
        <f t="shared" si="548"/>
        <v>2086</v>
      </c>
      <c r="AB224" s="924">
        <v>591</v>
      </c>
      <c r="AC224" s="924">
        <v>531</v>
      </c>
      <c r="AD224" s="924">
        <v>559</v>
      </c>
      <c r="AE224" s="924">
        <v>546</v>
      </c>
      <c r="AF224" s="993">
        <f t="shared" si="549"/>
        <v>2227</v>
      </c>
      <c r="AG224" s="924">
        <v>678</v>
      </c>
      <c r="AH224" s="924">
        <v>548</v>
      </c>
      <c r="AI224" s="924">
        <v>611</v>
      </c>
      <c r="AJ224" s="924">
        <v>579</v>
      </c>
      <c r="AK224" s="993">
        <f t="shared" si="550"/>
        <v>2416</v>
      </c>
      <c r="AL224" s="924">
        <v>683</v>
      </c>
      <c r="AM224" s="924">
        <v>531</v>
      </c>
      <c r="AN224" s="924">
        <v>630</v>
      </c>
      <c r="AO224" s="265">
        <f t="shared" si="551"/>
        <v>603</v>
      </c>
      <c r="AP224" s="1032">
        <v>2447</v>
      </c>
      <c r="AQ224" s="924">
        <v>714</v>
      </c>
      <c r="AR224" s="924">
        <v>615</v>
      </c>
      <c r="AS224" s="924">
        <v>685</v>
      </c>
      <c r="AT224" s="265">
        <f t="shared" si="552"/>
        <v>685</v>
      </c>
      <c r="AU224" s="1032">
        <v>2699</v>
      </c>
      <c r="AV224" s="924">
        <v>789</v>
      </c>
      <c r="AW224" s="924">
        <v>678</v>
      </c>
      <c r="AX224" s="924">
        <v>738</v>
      </c>
      <c r="AY224" s="265">
        <f t="shared" si="553"/>
        <v>757</v>
      </c>
      <c r="AZ224" s="1032">
        <v>2962</v>
      </c>
      <c r="BA224" s="924">
        <v>866</v>
      </c>
      <c r="BB224" s="924">
        <v>744</v>
      </c>
      <c r="BC224" s="924">
        <v>829</v>
      </c>
      <c r="BD224" s="265">
        <f t="shared" si="554"/>
        <v>825</v>
      </c>
      <c r="BE224" s="1032">
        <v>3264</v>
      </c>
      <c r="BF224" s="924">
        <v>965</v>
      </c>
      <c r="BG224" s="924">
        <v>809</v>
      </c>
      <c r="BH224" s="925">
        <v>914</v>
      </c>
      <c r="BI224" s="210"/>
      <c r="BJ224" s="994"/>
      <c r="BK224" s="210"/>
      <c r="BL224" s="210"/>
      <c r="BM224" s="210"/>
      <c r="BN224" s="210"/>
      <c r="BO224" s="994"/>
      <c r="BP224" s="994"/>
      <c r="BQ224" s="994"/>
      <c r="BR224" s="994"/>
      <c r="BS224" s="265"/>
    </row>
    <row r="225" spans="1:71" s="261" customFormat="1" ht="15" hidden="1" outlineLevel="1">
      <c r="A225" s="387" t="s">
        <v>447</v>
      </c>
      <c r="B225" s="468"/>
      <c r="C225" s="1032">
        <v>2933</v>
      </c>
      <c r="D225" s="1032">
        <v>2995</v>
      </c>
      <c r="E225" s="1032">
        <v>3096</v>
      </c>
      <c r="F225" s="1032">
        <v>3100</v>
      </c>
      <c r="G225" s="1032">
        <v>3083</v>
      </c>
      <c r="H225" s="924">
        <v>821</v>
      </c>
      <c r="I225" s="924">
        <v>750</v>
      </c>
      <c r="J225" s="924">
        <v>759</v>
      </c>
      <c r="K225" s="924">
        <v>773</v>
      </c>
      <c r="L225" s="993">
        <f t="shared" si="545"/>
        <v>3103</v>
      </c>
      <c r="M225" s="924">
        <v>824</v>
      </c>
      <c r="N225" s="924">
        <v>765</v>
      </c>
      <c r="O225" s="924">
        <v>779</v>
      </c>
      <c r="P225" s="924">
        <v>778</v>
      </c>
      <c r="Q225" s="993">
        <f t="shared" si="546"/>
        <v>3146</v>
      </c>
      <c r="R225" s="924">
        <v>829</v>
      </c>
      <c r="S225" s="924">
        <v>777</v>
      </c>
      <c r="T225" s="924">
        <v>777</v>
      </c>
      <c r="U225" s="924">
        <v>774</v>
      </c>
      <c r="V225" s="993">
        <f t="shared" si="547"/>
        <v>3157</v>
      </c>
      <c r="W225" s="924">
        <v>855</v>
      </c>
      <c r="X225" s="924">
        <v>788</v>
      </c>
      <c r="Y225" s="924">
        <v>787</v>
      </c>
      <c r="Z225" s="924">
        <v>798</v>
      </c>
      <c r="AA225" s="993">
        <f t="shared" si="548"/>
        <v>3228</v>
      </c>
      <c r="AB225" s="924">
        <v>896</v>
      </c>
      <c r="AC225" s="924">
        <v>831</v>
      </c>
      <c r="AD225" s="924">
        <v>840</v>
      </c>
      <c r="AE225" s="924">
        <v>823</v>
      </c>
      <c r="AF225" s="993">
        <f t="shared" si="549"/>
        <v>3390</v>
      </c>
      <c r="AG225" s="924">
        <v>902</v>
      </c>
      <c r="AH225" s="924">
        <v>871</v>
      </c>
      <c r="AI225" s="924">
        <v>885</v>
      </c>
      <c r="AJ225" s="924">
        <v>884</v>
      </c>
      <c r="AK225" s="993">
        <f t="shared" si="550"/>
        <v>3542</v>
      </c>
      <c r="AL225" s="924">
        <v>956</v>
      </c>
      <c r="AM225" s="924">
        <v>892</v>
      </c>
      <c r="AN225" s="924">
        <v>899</v>
      </c>
      <c r="AO225" s="265">
        <f t="shared" si="551"/>
        <v>861</v>
      </c>
      <c r="AP225" s="1032">
        <v>3608</v>
      </c>
      <c r="AQ225" s="924">
        <v>940</v>
      </c>
      <c r="AR225" s="924">
        <v>908</v>
      </c>
      <c r="AS225" s="924">
        <v>953</v>
      </c>
      <c r="AT225" s="265">
        <f t="shared" si="552"/>
        <v>967</v>
      </c>
      <c r="AU225" s="1032">
        <v>3768</v>
      </c>
      <c r="AV225" s="924">
        <v>1085</v>
      </c>
      <c r="AW225" s="924">
        <v>1041</v>
      </c>
      <c r="AX225" s="924">
        <v>1067</v>
      </c>
      <c r="AY225" s="265">
        <f t="shared" si="553"/>
        <v>1111</v>
      </c>
      <c r="AZ225" s="1032">
        <v>4304</v>
      </c>
      <c r="BA225" s="924">
        <v>1241</v>
      </c>
      <c r="BB225" s="924">
        <v>1227</v>
      </c>
      <c r="BC225" s="924">
        <v>1240</v>
      </c>
      <c r="BD225" s="265">
        <f t="shared" si="554"/>
        <v>1292</v>
      </c>
      <c r="BE225" s="1032">
        <v>5000</v>
      </c>
      <c r="BF225" s="924">
        <v>1416</v>
      </c>
      <c r="BG225" s="924">
        <v>1345</v>
      </c>
      <c r="BH225" s="925">
        <v>1367</v>
      </c>
      <c r="BI225" s="210"/>
      <c r="BJ225" s="994"/>
      <c r="BK225" s="210"/>
      <c r="BL225" s="210"/>
      <c r="BM225" s="210"/>
      <c r="BN225" s="210"/>
      <c r="BO225" s="994"/>
      <c r="BP225" s="994"/>
      <c r="BQ225" s="994"/>
      <c r="BR225" s="994"/>
      <c r="BS225" s="265"/>
    </row>
    <row r="226" spans="1:71" s="261" customFormat="1" ht="15" hidden="1" outlineLevel="1">
      <c r="A226" s="390" t="s">
        <v>448</v>
      </c>
      <c r="B226" s="469"/>
      <c r="C226" s="1033">
        <v>0</v>
      </c>
      <c r="D226" s="1033">
        <v>-1</v>
      </c>
      <c r="E226" s="1033">
        <v>30</v>
      </c>
      <c r="F226" s="1033">
        <v>36</v>
      </c>
      <c r="G226" s="1033">
        <v>40</v>
      </c>
      <c r="H226" s="927">
        <v>8</v>
      </c>
      <c r="I226" s="927">
        <v>9</v>
      </c>
      <c r="J226" s="927">
        <v>22</v>
      </c>
      <c r="K226" s="927">
        <v>3</v>
      </c>
      <c r="L226" s="995">
        <f t="shared" si="545"/>
        <v>42</v>
      </c>
      <c r="M226" s="927">
        <v>7</v>
      </c>
      <c r="N226" s="927">
        <v>6</v>
      </c>
      <c r="O226" s="927">
        <v>22</v>
      </c>
      <c r="P226" s="927">
        <v>3</v>
      </c>
      <c r="Q226" s="995">
        <f t="shared" si="546"/>
        <v>38</v>
      </c>
      <c r="R226" s="927">
        <v>3</v>
      </c>
      <c r="S226" s="927">
        <v>4</v>
      </c>
      <c r="T226" s="927">
        <v>19</v>
      </c>
      <c r="U226" s="927">
        <v>6</v>
      </c>
      <c r="V226" s="995">
        <f t="shared" si="547"/>
        <v>32</v>
      </c>
      <c r="W226" s="927">
        <v>3</v>
      </c>
      <c r="X226" s="927">
        <v>2</v>
      </c>
      <c r="Y226" s="927">
        <v>18</v>
      </c>
      <c r="Z226" s="927">
        <v>3</v>
      </c>
      <c r="AA226" s="995">
        <f t="shared" si="548"/>
        <v>26</v>
      </c>
      <c r="AB226" s="927">
        <v>5</v>
      </c>
      <c r="AC226" s="927">
        <v>1</v>
      </c>
      <c r="AD226" s="927">
        <v>18</v>
      </c>
      <c r="AE226" s="927">
        <v>6</v>
      </c>
      <c r="AF226" s="995">
        <f t="shared" si="549"/>
        <v>30</v>
      </c>
      <c r="AG226" s="927">
        <v>7</v>
      </c>
      <c r="AH226" s="927">
        <v>4</v>
      </c>
      <c r="AI226" s="927">
        <v>28</v>
      </c>
      <c r="AJ226" s="927">
        <v>4</v>
      </c>
      <c r="AK226" s="995">
        <f t="shared" si="550"/>
        <v>43</v>
      </c>
      <c r="AL226" s="927">
        <v>13</v>
      </c>
      <c r="AM226" s="927">
        <v>4</v>
      </c>
      <c r="AN226" s="927">
        <v>35</v>
      </c>
      <c r="AO226" s="186">
        <f t="shared" si="551"/>
        <v>5</v>
      </c>
      <c r="AP226" s="1033">
        <v>57</v>
      </c>
      <c r="AQ226" s="927">
        <v>18</v>
      </c>
      <c r="AR226" s="927">
        <v>3</v>
      </c>
      <c r="AS226" s="927">
        <v>42</v>
      </c>
      <c r="AT226" s="186">
        <f t="shared" si="552"/>
        <v>7</v>
      </c>
      <c r="AU226" s="1033">
        <v>70</v>
      </c>
      <c r="AV226" s="927">
        <v>21</v>
      </c>
      <c r="AW226" s="927">
        <v>2</v>
      </c>
      <c r="AX226" s="927">
        <v>43</v>
      </c>
      <c r="AY226" s="186">
        <f t="shared" si="553"/>
        <v>13</v>
      </c>
      <c r="AZ226" s="1033">
        <v>79</v>
      </c>
      <c r="BA226" s="927">
        <v>16</v>
      </c>
      <c r="BB226" s="927">
        <v>-1</v>
      </c>
      <c r="BC226" s="927">
        <v>46</v>
      </c>
      <c r="BD226" s="186">
        <f t="shared" si="554"/>
        <v>8</v>
      </c>
      <c r="BE226" s="1033">
        <v>69</v>
      </c>
      <c r="BF226" s="927">
        <v>29</v>
      </c>
      <c r="BG226" s="927">
        <v>-10</v>
      </c>
      <c r="BH226" s="928">
        <v>40</v>
      </c>
      <c r="BI226" s="205"/>
      <c r="BJ226" s="996"/>
      <c r="BK226" s="205"/>
      <c r="BL226" s="205"/>
      <c r="BM226" s="205"/>
      <c r="BN226" s="205"/>
      <c r="BO226" s="996"/>
      <c r="BP226" s="996"/>
      <c r="BQ226" s="996"/>
      <c r="BR226" s="996"/>
      <c r="BS226" s="265"/>
    </row>
    <row r="227" spans="1:71" s="261" customFormat="1" ht="15" hidden="1" outlineLevel="1">
      <c r="A227" s="264" t="s">
        <v>440</v>
      </c>
      <c r="B227" s="468"/>
      <c r="C227" s="993">
        <f t="shared" si="555" ref="C227:AM227">SUM(C221:C226)</f>
        <v>10902</v>
      </c>
      <c r="D227" s="993">
        <f t="shared" si="555"/>
        <v>10857</v>
      </c>
      <c r="E227" s="993">
        <f t="shared" si="555"/>
        <v>11340</v>
      </c>
      <c r="F227" s="993">
        <f t="shared" si="555"/>
        <v>11872</v>
      </c>
      <c r="G227" s="993">
        <f t="shared" si="555"/>
        <v>12233</v>
      </c>
      <c r="H227" s="265">
        <f t="shared" si="555"/>
        <v>3304</v>
      </c>
      <c r="I227" s="265">
        <f t="shared" si="555"/>
        <v>3101</v>
      </c>
      <c r="J227" s="265">
        <f t="shared" si="555"/>
        <v>3079</v>
      </c>
      <c r="K227" s="265">
        <f t="shared" si="555"/>
        <v>3031</v>
      </c>
      <c r="L227" s="993">
        <f t="shared" si="555"/>
        <v>12515</v>
      </c>
      <c r="M227" s="265">
        <f t="shared" si="555"/>
        <v>3362</v>
      </c>
      <c r="N227" s="265">
        <f t="shared" si="555"/>
        <v>3145</v>
      </c>
      <c r="O227" s="265">
        <f t="shared" si="555"/>
        <v>3198</v>
      </c>
      <c r="P227" s="265">
        <f t="shared" si="555"/>
        <v>3059</v>
      </c>
      <c r="Q227" s="993">
        <f t="shared" si="555"/>
        <v>12764</v>
      </c>
      <c r="R227" s="265">
        <f t="shared" si="555"/>
        <v>3517</v>
      </c>
      <c r="S227" s="265">
        <f t="shared" si="555"/>
        <v>3205</v>
      </c>
      <c r="T227" s="265">
        <f t="shared" si="555"/>
        <v>3180</v>
      </c>
      <c r="U227" s="265">
        <f t="shared" si="555"/>
        <v>3043</v>
      </c>
      <c r="V227" s="993">
        <f t="shared" si="555"/>
        <v>12945</v>
      </c>
      <c r="W227" s="265">
        <f t="shared" si="555"/>
        <v>3606</v>
      </c>
      <c r="X227" s="265">
        <f t="shared" si="555"/>
        <v>3255</v>
      </c>
      <c r="Y227" s="265">
        <f t="shared" si="555"/>
        <v>3232</v>
      </c>
      <c r="Z227" s="265">
        <f t="shared" si="555"/>
        <v>3164</v>
      </c>
      <c r="AA227" s="993">
        <f t="shared" si="555"/>
        <v>13257</v>
      </c>
      <c r="AB227" s="265">
        <f t="shared" si="555"/>
        <v>3724</v>
      </c>
      <c r="AC227" s="265">
        <f t="shared" si="555"/>
        <v>3463</v>
      </c>
      <c r="AD227" s="265">
        <f t="shared" si="555"/>
        <v>3421</v>
      </c>
      <c r="AE227" s="265">
        <f t="shared" si="555"/>
        <v>3264</v>
      </c>
      <c r="AF227" s="993">
        <f t="shared" si="555"/>
        <v>13872</v>
      </c>
      <c r="AG227" s="265">
        <f t="shared" si="555"/>
        <v>3886</v>
      </c>
      <c r="AH227" s="265">
        <f t="shared" si="555"/>
        <v>3576</v>
      </c>
      <c r="AI227" s="265">
        <f t="shared" si="555"/>
        <v>3671</v>
      </c>
      <c r="AJ227" s="265">
        <f t="shared" si="555"/>
        <v>3424</v>
      </c>
      <c r="AK227" s="993">
        <f t="shared" si="555"/>
        <v>14557</v>
      </c>
      <c r="AL227" s="265">
        <f t="shared" si="555"/>
        <v>3936</v>
      </c>
      <c r="AM227" s="265">
        <f t="shared" si="555"/>
        <v>3494</v>
      </c>
      <c r="AN227" s="265">
        <f>SUM(AN221:AN226)</f>
        <v>3630</v>
      </c>
      <c r="AO227" s="265">
        <f t="shared" si="556" ref="AO227:AQ227">SUM(AO221:AO226)</f>
        <v>3354</v>
      </c>
      <c r="AP227" s="993">
        <f t="shared" si="556"/>
        <v>14414</v>
      </c>
      <c r="AQ227" s="265">
        <f t="shared" si="556"/>
        <v>3848</v>
      </c>
      <c r="AR227" s="265">
        <f t="shared" si="557" ref="AR227:AW227">SUM(AR221:AR226)</f>
        <v>3673</v>
      </c>
      <c r="AS227" s="265">
        <f t="shared" si="557"/>
        <v>3803</v>
      </c>
      <c r="AT227" s="265">
        <f t="shared" si="557"/>
        <v>3694</v>
      </c>
      <c r="AU227" s="993">
        <f t="shared" si="557"/>
        <v>15018</v>
      </c>
      <c r="AV227" s="265">
        <f t="shared" si="557"/>
        <v>4235</v>
      </c>
      <c r="AW227" s="265">
        <f t="shared" si="557"/>
        <v>4066</v>
      </c>
      <c r="AX227" s="265">
        <f t="shared" si="558" ref="AX227:BC227">SUM(AX221:AX226)</f>
        <v>4153</v>
      </c>
      <c r="AY227" s="265">
        <f t="shared" si="558"/>
        <v>4120</v>
      </c>
      <c r="AZ227" s="993">
        <f t="shared" si="558"/>
        <v>16574</v>
      </c>
      <c r="BA227" s="265">
        <f t="shared" si="558"/>
        <v>4718</v>
      </c>
      <c r="BB227" s="265">
        <f t="shared" si="558"/>
        <v>4640</v>
      </c>
      <c r="BC227" s="265">
        <f t="shared" si="558"/>
        <v>4695</v>
      </c>
      <c r="BD227" s="265">
        <f>SUM(BD221:BD226)</f>
        <v>4612</v>
      </c>
      <c r="BE227" s="993">
        <f>SUM(BE221:BE226)</f>
        <v>18665</v>
      </c>
      <c r="BF227" s="265">
        <f>SUM(BF221:BF226)</f>
        <v>5156</v>
      </c>
      <c r="BG227" s="265">
        <f>SUM(BG221:BG226)</f>
        <v>4968</v>
      </c>
      <c r="BH227" s="745">
        <f>SUM(BH221:BH226)</f>
        <v>5075</v>
      </c>
      <c r="BI227" s="210"/>
      <c r="BJ227" s="994"/>
      <c r="BK227" s="210"/>
      <c r="BL227" s="210"/>
      <c r="BM227" s="210"/>
      <c r="BN227" s="210"/>
      <c r="BO227" s="994"/>
      <c r="BP227" s="994"/>
      <c r="BQ227" s="994"/>
      <c r="BR227" s="994"/>
      <c r="BS227" s="265"/>
    </row>
    <row r="228" spans="1:71" s="261" customFormat="1" ht="15" hidden="1" outlineLevel="1">
      <c r="A228" s="209" t="s">
        <v>441</v>
      </c>
      <c r="B228" s="469"/>
      <c r="C228" s="1033">
        <v>0</v>
      </c>
      <c r="D228" s="996"/>
      <c r="E228" s="1033">
        <v>0</v>
      </c>
      <c r="F228" s="1033">
        <v>0</v>
      </c>
      <c r="G228" s="1033">
        <v>1279</v>
      </c>
      <c r="H228" s="927">
        <v>468</v>
      </c>
      <c r="I228" s="927">
        <v>628</v>
      </c>
      <c r="J228" s="927">
        <v>481</v>
      </c>
      <c r="K228" s="927">
        <v>544</v>
      </c>
      <c r="L228" s="995">
        <f>SUM(H228,I228,J228,K228)</f>
        <v>2121</v>
      </c>
      <c r="M228" s="927">
        <v>435</v>
      </c>
      <c r="N228" s="927">
        <v>534</v>
      </c>
      <c r="O228" s="927">
        <v>392</v>
      </c>
      <c r="P228" s="927">
        <v>458</v>
      </c>
      <c r="Q228" s="995">
        <f>SUM(M228,N228,O228,P228)</f>
        <v>1819</v>
      </c>
      <c r="R228" s="927">
        <v>243</v>
      </c>
      <c r="S228" s="927">
        <v>267</v>
      </c>
      <c r="T228" s="927">
        <v>208</v>
      </c>
      <c r="U228" s="927">
        <v>237</v>
      </c>
      <c r="V228" s="995">
        <f>SUM(R228,S228,T228,U228)</f>
        <v>955</v>
      </c>
      <c r="W228" s="927">
        <v>249</v>
      </c>
      <c r="X228" s="927">
        <v>289</v>
      </c>
      <c r="Y228" s="927">
        <v>202</v>
      </c>
      <c r="Z228" s="927">
        <v>273</v>
      </c>
      <c r="AA228" s="995">
        <f>SUM(W228,X228,Y228,Z228)</f>
        <v>1013</v>
      </c>
      <c r="AB228" s="927">
        <v>270</v>
      </c>
      <c r="AC228" s="927">
        <v>318</v>
      </c>
      <c r="AD228" s="927">
        <v>227</v>
      </c>
      <c r="AE228" s="927">
        <v>269</v>
      </c>
      <c r="AF228" s="995">
        <f>SUM(AB228,AC228,AD228,AE228)</f>
        <v>1084</v>
      </c>
      <c r="AG228" s="927">
        <v>277</v>
      </c>
      <c r="AH228" s="927">
        <v>298</v>
      </c>
      <c r="AI228" s="927">
        <v>218</v>
      </c>
      <c r="AJ228" s="927">
        <v>279</v>
      </c>
      <c r="AK228" s="995">
        <f>SUM(AG228,AH228,AI228,AJ228)</f>
        <v>1072</v>
      </c>
      <c r="AL228" s="927">
        <v>254</v>
      </c>
      <c r="AM228" s="927">
        <v>283</v>
      </c>
      <c r="AN228" s="927">
        <v>203</v>
      </c>
      <c r="AO228" s="186">
        <f>AP228-SUM(AL228,AM228,AN228)</f>
        <v>277</v>
      </c>
      <c r="AP228" s="1033">
        <v>1017</v>
      </c>
      <c r="AQ228" s="927">
        <v>277</v>
      </c>
      <c r="AR228" s="927">
        <v>307</v>
      </c>
      <c r="AS228" s="927">
        <v>218</v>
      </c>
      <c r="AT228" s="186">
        <f>AU228-SUM(AQ228,AR228,AS228)</f>
        <v>272</v>
      </c>
      <c r="AU228" s="1033">
        <v>1074</v>
      </c>
      <c r="AV228" s="927">
        <v>267</v>
      </c>
      <c r="AW228" s="927">
        <v>307</v>
      </c>
      <c r="AX228" s="927">
        <v>217</v>
      </c>
      <c r="AY228" s="186">
        <f>AZ228-SUM(AV228,AW228,AX228)</f>
        <v>270</v>
      </c>
      <c r="AZ228" s="1033">
        <v>1061</v>
      </c>
      <c r="BA228" s="927">
        <v>439</v>
      </c>
      <c r="BB228" s="927">
        <v>535</v>
      </c>
      <c r="BC228" s="927">
        <v>385</v>
      </c>
      <c r="BD228" s="186">
        <f>BE228-SUM(BA228,BB228,BC228)</f>
        <v>406</v>
      </c>
      <c r="BE228" s="1033">
        <v>1765</v>
      </c>
      <c r="BF228" s="927">
        <v>440</v>
      </c>
      <c r="BG228" s="927">
        <v>571</v>
      </c>
      <c r="BH228" s="928">
        <v>442</v>
      </c>
      <c r="BI228" s="205"/>
      <c r="BJ228" s="996"/>
      <c r="BK228" s="205"/>
      <c r="BL228" s="205"/>
      <c r="BM228" s="205"/>
      <c r="BN228" s="205"/>
      <c r="BO228" s="996"/>
      <c r="BP228" s="996"/>
      <c r="BQ228" s="996"/>
      <c r="BR228" s="996"/>
      <c r="BS228" s="265"/>
    </row>
    <row r="229" spans="1:71" s="45" customFormat="1" ht="15" hidden="1" outlineLevel="1">
      <c r="A229" s="197" t="s">
        <v>442</v>
      </c>
      <c r="B229" s="470"/>
      <c r="C229" s="1008">
        <f t="shared" si="559" ref="C229:AM229">SUM(C227:C228)</f>
        <v>10902</v>
      </c>
      <c r="D229" s="1008">
        <f t="shared" si="559"/>
        <v>10857</v>
      </c>
      <c r="E229" s="1008">
        <f t="shared" si="559"/>
        <v>11340</v>
      </c>
      <c r="F229" s="1008">
        <f t="shared" si="559"/>
        <v>11872</v>
      </c>
      <c r="G229" s="1008">
        <f t="shared" si="559"/>
        <v>13512</v>
      </c>
      <c r="H229" s="185">
        <f t="shared" si="559"/>
        <v>3772</v>
      </c>
      <c r="I229" s="185">
        <f t="shared" si="559"/>
        <v>3729</v>
      </c>
      <c r="J229" s="185">
        <f t="shared" si="559"/>
        <v>3560</v>
      </c>
      <c r="K229" s="185">
        <f t="shared" si="559"/>
        <v>3575</v>
      </c>
      <c r="L229" s="1008">
        <f t="shared" si="559"/>
        <v>14636</v>
      </c>
      <c r="M229" s="185">
        <f t="shared" si="559"/>
        <v>3797</v>
      </c>
      <c r="N229" s="185">
        <f t="shared" si="559"/>
        <v>3679</v>
      </c>
      <c r="O229" s="185">
        <f t="shared" si="559"/>
        <v>3590</v>
      </c>
      <c r="P229" s="185">
        <f t="shared" si="559"/>
        <v>3517</v>
      </c>
      <c r="Q229" s="1008">
        <f t="shared" si="559"/>
        <v>14583</v>
      </c>
      <c r="R229" s="185">
        <f t="shared" si="559"/>
        <v>3760</v>
      </c>
      <c r="S229" s="185">
        <f t="shared" si="559"/>
        <v>3472</v>
      </c>
      <c r="T229" s="185">
        <f t="shared" si="559"/>
        <v>3388</v>
      </c>
      <c r="U229" s="185">
        <f t="shared" si="559"/>
        <v>3280</v>
      </c>
      <c r="V229" s="1008">
        <f t="shared" si="559"/>
        <v>13900</v>
      </c>
      <c r="W229" s="185">
        <f t="shared" si="559"/>
        <v>3855</v>
      </c>
      <c r="X229" s="185">
        <f t="shared" si="559"/>
        <v>3544</v>
      </c>
      <c r="Y229" s="185">
        <f t="shared" si="559"/>
        <v>3434</v>
      </c>
      <c r="Z229" s="185">
        <f t="shared" si="559"/>
        <v>3437</v>
      </c>
      <c r="AA229" s="1008">
        <f t="shared" si="559"/>
        <v>14270</v>
      </c>
      <c r="AB229" s="185">
        <f t="shared" si="559"/>
        <v>3994</v>
      </c>
      <c r="AC229" s="185">
        <f t="shared" si="559"/>
        <v>3781</v>
      </c>
      <c r="AD229" s="185">
        <f t="shared" si="559"/>
        <v>3648</v>
      </c>
      <c r="AE229" s="185">
        <f t="shared" si="559"/>
        <v>3533</v>
      </c>
      <c r="AF229" s="1008">
        <f t="shared" si="559"/>
        <v>14956</v>
      </c>
      <c r="AG229" s="185">
        <f t="shared" si="559"/>
        <v>4163</v>
      </c>
      <c r="AH229" s="185">
        <f t="shared" si="559"/>
        <v>3874</v>
      </c>
      <c r="AI229" s="185">
        <f t="shared" si="559"/>
        <v>3889</v>
      </c>
      <c r="AJ229" s="185">
        <f t="shared" si="559"/>
        <v>3703</v>
      </c>
      <c r="AK229" s="1008">
        <f t="shared" si="559"/>
        <v>15629</v>
      </c>
      <c r="AL229" s="185">
        <f t="shared" si="559"/>
        <v>4190</v>
      </c>
      <c r="AM229" s="185">
        <f t="shared" si="559"/>
        <v>3777</v>
      </c>
      <c r="AN229" s="185">
        <f>SUM(AN227:AN228)</f>
        <v>3833</v>
      </c>
      <c r="AO229" s="185">
        <f t="shared" si="560" ref="AO229:AQ229">SUM(AO227:AO228)</f>
        <v>3631</v>
      </c>
      <c r="AP229" s="1008">
        <f t="shared" si="560"/>
        <v>15431</v>
      </c>
      <c r="AQ229" s="185">
        <f t="shared" si="560"/>
        <v>4125</v>
      </c>
      <c r="AR229" s="185">
        <f t="shared" si="561" ref="AR229:AW229">SUM(AR227:AR228)</f>
        <v>3980</v>
      </c>
      <c r="AS229" s="185">
        <f t="shared" si="561"/>
        <v>4021</v>
      </c>
      <c r="AT229" s="185">
        <f t="shared" si="561"/>
        <v>3966</v>
      </c>
      <c r="AU229" s="1008">
        <f t="shared" si="561"/>
        <v>16092</v>
      </c>
      <c r="AV229" s="185">
        <f t="shared" si="561"/>
        <v>4502</v>
      </c>
      <c r="AW229" s="185">
        <f t="shared" si="561"/>
        <v>4373</v>
      </c>
      <c r="AX229" s="185">
        <f t="shared" si="562" ref="AX229:BC229">SUM(AX227:AX228)</f>
        <v>4370</v>
      </c>
      <c r="AY229" s="185">
        <f t="shared" si="562"/>
        <v>4390</v>
      </c>
      <c r="AZ229" s="1008">
        <f t="shared" si="562"/>
        <v>17635</v>
      </c>
      <c r="BA229" s="185">
        <f t="shared" si="562"/>
        <v>5157</v>
      </c>
      <c r="BB229" s="185">
        <f t="shared" si="562"/>
        <v>5175</v>
      </c>
      <c r="BC229" s="185">
        <f t="shared" si="562"/>
        <v>5080</v>
      </c>
      <c r="BD229" s="185">
        <f>SUM(BD227:BD228)</f>
        <v>5018</v>
      </c>
      <c r="BE229" s="1008">
        <f>SUM(BE227:BE228)</f>
        <v>20430</v>
      </c>
      <c r="BF229" s="185">
        <f>SUM(BF227:BF228)</f>
        <v>5596</v>
      </c>
      <c r="BG229" s="185">
        <f>SUM(BG227:BG228)</f>
        <v>5539</v>
      </c>
      <c r="BH229" s="749">
        <f>SUM(BH227:BH228)</f>
        <v>5517</v>
      </c>
      <c r="BI229" s="199"/>
      <c r="BJ229" s="1009"/>
      <c r="BK229" s="199"/>
      <c r="BL229" s="199"/>
      <c r="BM229" s="199"/>
      <c r="BN229" s="199"/>
      <c r="BO229" s="1009"/>
      <c r="BP229" s="1009"/>
      <c r="BQ229" s="1009"/>
      <c r="BR229" s="1009"/>
      <c r="BS229" s="185"/>
    </row>
    <row r="230" spans="1:71" s="181" customFormat="1" ht="15" collapsed="1">
      <c r="A230" s="453"/>
      <c r="B230" s="451"/>
      <c r="C230" s="1043"/>
      <c r="D230" s="1043"/>
      <c r="E230" s="1043"/>
      <c r="F230" s="1043"/>
      <c r="G230" s="1043"/>
      <c r="H230" s="860"/>
      <c r="I230" s="860"/>
      <c r="J230" s="860"/>
      <c r="K230" s="860"/>
      <c r="L230" s="1043"/>
      <c r="M230" s="860"/>
      <c r="N230" s="860"/>
      <c r="O230" s="860"/>
      <c r="P230" s="860"/>
      <c r="Q230" s="1043"/>
      <c r="R230" s="860"/>
      <c r="S230" s="860"/>
      <c r="T230" s="860"/>
      <c r="U230" s="860"/>
      <c r="V230" s="1043"/>
      <c r="W230" s="860"/>
      <c r="X230" s="860"/>
      <c r="Y230" s="860"/>
      <c r="Z230" s="860"/>
      <c r="AA230" s="1043"/>
      <c r="AB230" s="860"/>
      <c r="AC230" s="860"/>
      <c r="AD230" s="860"/>
      <c r="AE230" s="860"/>
      <c r="AF230" s="1043"/>
      <c r="AG230" s="860"/>
      <c r="AH230" s="860"/>
      <c r="AI230" s="860"/>
      <c r="AJ230" s="860"/>
      <c r="AK230" s="1043"/>
      <c r="AL230" s="860"/>
      <c r="AM230" s="860"/>
      <c r="AN230" s="860"/>
      <c r="AO230" s="860"/>
      <c r="AP230" s="1043"/>
      <c r="AQ230" s="860"/>
      <c r="AR230" s="860"/>
      <c r="AS230" s="860"/>
      <c r="AT230" s="860"/>
      <c r="AU230" s="1043"/>
      <c r="AV230" s="860"/>
      <c r="AW230" s="860"/>
      <c r="AX230" s="860"/>
      <c r="AY230" s="860"/>
      <c r="AZ230" s="1043"/>
      <c r="BA230" s="860"/>
      <c r="BB230" s="860"/>
      <c r="BC230" s="860"/>
      <c r="BD230" s="860"/>
      <c r="BE230" s="1043"/>
      <c r="BF230" s="860"/>
      <c r="BG230" s="860"/>
      <c r="BH230" s="861"/>
      <c r="BI230" s="860"/>
      <c r="BJ230" s="1043"/>
      <c r="BK230" s="860"/>
      <c r="BL230" s="860"/>
      <c r="BM230" s="860"/>
      <c r="BN230" s="860"/>
      <c r="BO230" s="1043"/>
      <c r="BP230" s="1043"/>
      <c r="BQ230" s="1043"/>
      <c r="BR230" s="1043"/>
      <c r="BS230" s="423"/>
    </row>
    <row r="231" spans="1:71" s="181" customFormat="1" ht="15">
      <c r="A231" s="826" t="s">
        <v>392</v>
      </c>
      <c r="B231" s="826"/>
      <c r="C231" s="847"/>
      <c r="D231" s="847"/>
      <c r="E231" s="847"/>
      <c r="F231" s="847"/>
      <c r="G231" s="847"/>
      <c r="H231" s="847"/>
      <c r="I231" s="847"/>
      <c r="J231" s="847"/>
      <c r="K231" s="847"/>
      <c r="L231" s="847"/>
      <c r="M231" s="847"/>
      <c r="N231" s="847"/>
      <c r="O231" s="847"/>
      <c r="P231" s="847"/>
      <c r="Q231" s="847"/>
      <c r="R231" s="847"/>
      <c r="S231" s="847"/>
      <c r="T231" s="847"/>
      <c r="U231" s="847"/>
      <c r="V231" s="847"/>
      <c r="W231" s="847"/>
      <c r="X231" s="847"/>
      <c r="Y231" s="847"/>
      <c r="Z231" s="847"/>
      <c r="AA231" s="847"/>
      <c r="AB231" s="847"/>
      <c r="AC231" s="847"/>
      <c r="AD231" s="847"/>
      <c r="AE231" s="847"/>
      <c r="AF231" s="847"/>
      <c r="AG231" s="847"/>
      <c r="AH231" s="847"/>
      <c r="AI231" s="847"/>
      <c r="AJ231" s="847"/>
      <c r="AK231" s="847"/>
      <c r="AL231" s="847"/>
      <c r="AM231" s="847"/>
      <c r="AN231" s="847"/>
      <c r="AO231" s="847"/>
      <c r="AP231" s="847"/>
      <c r="AQ231" s="847"/>
      <c r="AR231" s="847"/>
      <c r="AS231" s="847"/>
      <c r="AT231" s="847"/>
      <c r="AU231" s="847"/>
      <c r="AV231" s="847"/>
      <c r="AW231" s="847"/>
      <c r="AX231" s="847"/>
      <c r="AY231" s="847"/>
      <c r="AZ231" s="847"/>
      <c r="BA231" s="847"/>
      <c r="BB231" s="847"/>
      <c r="BC231" s="847"/>
      <c r="BD231" s="847"/>
      <c r="BE231" s="847"/>
      <c r="BF231" s="847"/>
      <c r="BG231" s="847"/>
      <c r="BH231" s="848"/>
      <c r="BI231" s="847"/>
      <c r="BJ231" s="847"/>
      <c r="BK231" s="847"/>
      <c r="BL231" s="847"/>
      <c r="BM231" s="847"/>
      <c r="BN231" s="847"/>
      <c r="BO231" s="847"/>
      <c r="BP231" s="847"/>
      <c r="BQ231" s="847"/>
      <c r="BR231" s="847"/>
      <c r="BS231" s="423"/>
    </row>
    <row r="232" spans="1:71" s="261" customFormat="1" ht="15" hidden="1" outlineLevel="1">
      <c r="A232" s="264" t="s">
        <v>394</v>
      </c>
      <c r="B232" s="468"/>
      <c r="C232" s="1032">
        <v>3333</v>
      </c>
      <c r="D232" s="1032">
        <v>3317</v>
      </c>
      <c r="E232" s="1032">
        <v>3174</v>
      </c>
      <c r="F232" s="1032">
        <v>3045</v>
      </c>
      <c r="G232" s="1032">
        <v>1981</v>
      </c>
      <c r="H232" s="924">
        <v>503</v>
      </c>
      <c r="I232" s="924">
        <v>524</v>
      </c>
      <c r="J232" s="924">
        <v>527</v>
      </c>
      <c r="K232" s="924">
        <v>522</v>
      </c>
      <c r="L232" s="1032">
        <v>2076</v>
      </c>
      <c r="M232" s="924">
        <v>504</v>
      </c>
      <c r="N232" s="924">
        <v>524</v>
      </c>
      <c r="O232" s="924">
        <v>539</v>
      </c>
      <c r="P232" s="924">
        <v>518</v>
      </c>
      <c r="Q232" s="1032">
        <v>2085</v>
      </c>
      <c r="R232" s="924">
        <v>552</v>
      </c>
      <c r="S232" s="924">
        <v>559</v>
      </c>
      <c r="T232" s="924">
        <v>573</v>
      </c>
      <c r="U232" s="924">
        <v>576</v>
      </c>
      <c r="V232" s="1032">
        <v>2260</v>
      </c>
      <c r="W232" s="924">
        <v>555</v>
      </c>
      <c r="X232" s="924">
        <v>575</v>
      </c>
      <c r="Y232" s="924">
        <v>591</v>
      </c>
      <c r="Z232" s="924">
        <v>586</v>
      </c>
      <c r="AA232" s="1032">
        <v>2307</v>
      </c>
      <c r="AB232" s="924">
        <v>582</v>
      </c>
      <c r="AC232" s="924">
        <v>601</v>
      </c>
      <c r="AD232" s="924">
        <v>617</v>
      </c>
      <c r="AE232" s="924">
        <v>620</v>
      </c>
      <c r="AF232" s="1032">
        <v>2420</v>
      </c>
      <c r="AG232" s="924">
        <v>606</v>
      </c>
      <c r="AH232" s="924">
        <v>632</v>
      </c>
      <c r="AI232" s="924">
        <v>653</v>
      </c>
      <c r="AJ232" s="924">
        <v>674</v>
      </c>
      <c r="AK232" s="1032">
        <v>2565</v>
      </c>
      <c r="AL232" s="924">
        <v>667</v>
      </c>
      <c r="AM232" s="924">
        <v>693</v>
      </c>
      <c r="AN232" s="924">
        <v>723</v>
      </c>
      <c r="AO232" s="265">
        <f>AP232-SUM(AL232,AM232,AN232)</f>
        <v>740</v>
      </c>
      <c r="AP232" s="1032">
        <v>2823</v>
      </c>
      <c r="AQ232" s="924">
        <v>743</v>
      </c>
      <c r="AR232" s="924">
        <v>776</v>
      </c>
      <c r="AS232" s="924">
        <v>806</v>
      </c>
      <c r="AT232" s="265">
        <f>AU232-SUM(AQ232,AR232,AS232)</f>
        <v>813</v>
      </c>
      <c r="AU232" s="1032">
        <v>3138</v>
      </c>
      <c r="AV232" s="924">
        <v>820</v>
      </c>
      <c r="AW232" s="924">
        <v>851</v>
      </c>
      <c r="AX232" s="924">
        <v>877</v>
      </c>
      <c r="AY232" s="265">
        <f>AZ232-SUM(AV232,AW232,AX232)</f>
        <v>870</v>
      </c>
      <c r="AZ232" s="1032">
        <v>3418</v>
      </c>
      <c r="BA232" s="924">
        <v>875</v>
      </c>
      <c r="BB232" s="924">
        <v>911</v>
      </c>
      <c r="BC232" s="924">
        <v>935</v>
      </c>
      <c r="BD232" s="265">
        <f>BE232-SUM(BA232,BB232,BC232)</f>
        <v>934</v>
      </c>
      <c r="BE232" s="1032">
        <v>3655</v>
      </c>
      <c r="BF232" s="924">
        <v>956</v>
      </c>
      <c r="BG232" s="924">
        <v>977</v>
      </c>
      <c r="BH232" s="925">
        <v>1009</v>
      </c>
      <c r="BI232" s="210"/>
      <c r="BJ232" s="994"/>
      <c r="BK232" s="210"/>
      <c r="BL232" s="210"/>
      <c r="BM232" s="210"/>
      <c r="BN232" s="210"/>
      <c r="BO232" s="994"/>
      <c r="BP232" s="994"/>
      <c r="BQ232" s="994"/>
      <c r="BR232" s="994"/>
      <c r="BS232" s="265"/>
    </row>
    <row r="233" spans="1:71" s="261" customFormat="1" ht="15" hidden="1" outlineLevel="1">
      <c r="A233" s="264" t="s">
        <v>395</v>
      </c>
      <c r="B233" s="468"/>
      <c r="C233" s="1032">
        <v>452</v>
      </c>
      <c r="D233" s="1032">
        <v>439</v>
      </c>
      <c r="E233" s="1032">
        <v>414</v>
      </c>
      <c r="F233" s="1032">
        <v>395</v>
      </c>
      <c r="G233" s="1032">
        <v>260</v>
      </c>
      <c r="H233" s="924">
        <v>66</v>
      </c>
      <c r="I233" s="924">
        <v>62</v>
      </c>
      <c r="J233" s="924">
        <v>64</v>
      </c>
      <c r="K233" s="924">
        <v>60</v>
      </c>
      <c r="L233" s="1032">
        <v>252</v>
      </c>
      <c r="M233" s="924">
        <v>56</v>
      </c>
      <c r="N233" s="924">
        <v>57</v>
      </c>
      <c r="O233" s="924">
        <v>56</v>
      </c>
      <c r="P233" s="924">
        <v>54</v>
      </c>
      <c r="Q233" s="1032">
        <v>223</v>
      </c>
      <c r="R233" s="924">
        <v>60</v>
      </c>
      <c r="S233" s="924">
        <v>58</v>
      </c>
      <c r="T233" s="924">
        <v>59</v>
      </c>
      <c r="U233" s="924">
        <v>62</v>
      </c>
      <c r="V233" s="1032">
        <v>239</v>
      </c>
      <c r="W233" s="924">
        <v>61</v>
      </c>
      <c r="X233" s="924">
        <v>56</v>
      </c>
      <c r="Y233" s="924">
        <v>57</v>
      </c>
      <c r="Z233" s="924">
        <v>54</v>
      </c>
      <c r="AA233" s="1032">
        <v>228</v>
      </c>
      <c r="AB233" s="924">
        <v>58</v>
      </c>
      <c r="AC233" s="924">
        <v>57</v>
      </c>
      <c r="AD233" s="924">
        <v>57</v>
      </c>
      <c r="AE233" s="924">
        <v>61</v>
      </c>
      <c r="AF233" s="1032">
        <v>233</v>
      </c>
      <c r="AG233" s="924">
        <v>56</v>
      </c>
      <c r="AH233" s="924">
        <v>58</v>
      </c>
      <c r="AI233" s="924">
        <v>59</v>
      </c>
      <c r="AJ233" s="924">
        <v>60</v>
      </c>
      <c r="AK233" s="1032">
        <v>233</v>
      </c>
      <c r="AL233" s="924">
        <v>55</v>
      </c>
      <c r="AM233" s="924">
        <v>42</v>
      </c>
      <c r="AN233" s="924">
        <v>58</v>
      </c>
      <c r="AO233" s="265">
        <f>AP233-SUM(AL233,AM233,AN233)</f>
        <v>58</v>
      </c>
      <c r="AP233" s="1032">
        <v>213</v>
      </c>
      <c r="AQ233" s="924">
        <v>59</v>
      </c>
      <c r="AR233" s="924">
        <v>64</v>
      </c>
      <c r="AS233" s="924">
        <v>63</v>
      </c>
      <c r="AT233" s="265">
        <f>AU233-SUM(AQ233,AR233,AS233)</f>
        <v>61</v>
      </c>
      <c r="AU233" s="1032">
        <v>247</v>
      </c>
      <c r="AV233" s="924">
        <v>59</v>
      </c>
      <c r="AW233" s="924">
        <v>64</v>
      </c>
      <c r="AX233" s="924">
        <v>65</v>
      </c>
      <c r="AY233" s="265">
        <f>AZ233-SUM(AV233,AW233,AX233)</f>
        <v>70</v>
      </c>
      <c r="AZ233" s="1032">
        <v>258</v>
      </c>
      <c r="BA233" s="924">
        <v>73</v>
      </c>
      <c r="BB233" s="924">
        <v>78</v>
      </c>
      <c r="BC233" s="924">
        <v>86</v>
      </c>
      <c r="BD233" s="265">
        <f>BE233-SUM(BA233,BB233,BC233)</f>
        <v>91</v>
      </c>
      <c r="BE233" s="1032">
        <v>328</v>
      </c>
      <c r="BF233" s="924">
        <v>90</v>
      </c>
      <c r="BG233" s="924">
        <v>94</v>
      </c>
      <c r="BH233" s="925">
        <v>101</v>
      </c>
      <c r="BI233" s="210"/>
      <c r="BJ233" s="994"/>
      <c r="BK233" s="210"/>
      <c r="BL233" s="210"/>
      <c r="BM233" s="210"/>
      <c r="BN233" s="210"/>
      <c r="BO233" s="994"/>
      <c r="BP233" s="994"/>
      <c r="BQ233" s="994"/>
      <c r="BR233" s="994"/>
      <c r="BS233" s="265"/>
    </row>
    <row r="234" spans="1:71" s="261" customFormat="1" ht="15" hidden="1" outlineLevel="1">
      <c r="A234" s="264" t="s">
        <v>396</v>
      </c>
      <c r="B234" s="468"/>
      <c r="C234" s="1032">
        <v>0</v>
      </c>
      <c r="D234" s="1032">
        <v>2</v>
      </c>
      <c r="E234" s="1032">
        <v>1</v>
      </c>
      <c r="F234" s="1032">
        <v>1</v>
      </c>
      <c r="G234" s="994"/>
      <c r="H234" s="210"/>
      <c r="I234" s="210"/>
      <c r="J234" s="210"/>
      <c r="K234" s="210"/>
      <c r="L234" s="994"/>
      <c r="M234" s="210"/>
      <c r="N234" s="210"/>
      <c r="O234" s="210"/>
      <c r="P234" s="210"/>
      <c r="Q234" s="994"/>
      <c r="R234" s="210"/>
      <c r="S234" s="210"/>
      <c r="T234" s="210"/>
      <c r="U234" s="210"/>
      <c r="V234" s="994"/>
      <c r="W234" s="210"/>
      <c r="X234" s="210"/>
      <c r="Y234" s="210"/>
      <c r="Z234" s="210"/>
      <c r="AA234" s="994"/>
      <c r="AB234" s="210"/>
      <c r="AC234" s="210"/>
      <c r="AD234" s="210"/>
      <c r="AE234" s="210"/>
      <c r="AF234" s="994"/>
      <c r="AG234" s="210"/>
      <c r="AH234" s="210"/>
      <c r="AI234" s="210"/>
      <c r="AJ234" s="210"/>
      <c r="AK234" s="994"/>
      <c r="AL234" s="210"/>
      <c r="AM234" s="210"/>
      <c r="AN234" s="210"/>
      <c r="AO234" s="210"/>
      <c r="AP234" s="994"/>
      <c r="AQ234" s="210"/>
      <c r="AR234" s="210"/>
      <c r="AS234" s="210"/>
      <c r="AT234" s="210"/>
      <c r="AU234" s="994"/>
      <c r="AV234" s="210"/>
      <c r="AW234" s="210"/>
      <c r="AX234" s="210"/>
      <c r="AY234" s="210"/>
      <c r="AZ234" s="994"/>
      <c r="BA234" s="210"/>
      <c r="BB234" s="210"/>
      <c r="BC234" s="210"/>
      <c r="BD234" s="210"/>
      <c r="BE234" s="994"/>
      <c r="BF234" s="210"/>
      <c r="BG234" s="210"/>
      <c r="BH234" s="553"/>
      <c r="BI234" s="210"/>
      <c r="BJ234" s="994"/>
      <c r="BK234" s="210"/>
      <c r="BL234" s="210"/>
      <c r="BM234" s="210"/>
      <c r="BN234" s="210"/>
      <c r="BO234" s="994"/>
      <c r="BP234" s="994"/>
      <c r="BQ234" s="994"/>
      <c r="BR234" s="994"/>
      <c r="BS234" s="265"/>
    </row>
    <row r="235" spans="1:71" s="261" customFormat="1" ht="15" hidden="1" outlineLevel="1">
      <c r="A235" s="209" t="s">
        <v>397</v>
      </c>
      <c r="B235" s="469"/>
      <c r="C235" s="1033">
        <v>27</v>
      </c>
      <c r="D235" s="1033">
        <v>27</v>
      </c>
      <c r="E235" s="1033">
        <v>26</v>
      </c>
      <c r="F235" s="1033">
        <v>26</v>
      </c>
      <c r="G235" s="1033">
        <v>20</v>
      </c>
      <c r="H235" s="927">
        <v>4</v>
      </c>
      <c r="I235" s="927">
        <v>6</v>
      </c>
      <c r="J235" s="927">
        <v>5</v>
      </c>
      <c r="K235" s="927">
        <v>4</v>
      </c>
      <c r="L235" s="1033">
        <v>19</v>
      </c>
      <c r="M235" s="927">
        <v>5</v>
      </c>
      <c r="N235" s="927">
        <v>5</v>
      </c>
      <c r="O235" s="927">
        <v>4</v>
      </c>
      <c r="P235" s="927">
        <v>8</v>
      </c>
      <c r="Q235" s="1033">
        <v>22</v>
      </c>
      <c r="R235" s="927">
        <v>4</v>
      </c>
      <c r="S235" s="927">
        <v>5</v>
      </c>
      <c r="T235" s="927">
        <v>5</v>
      </c>
      <c r="U235" s="927">
        <v>7</v>
      </c>
      <c r="V235" s="1033">
        <v>21</v>
      </c>
      <c r="W235" s="927">
        <v>5</v>
      </c>
      <c r="X235" s="927">
        <v>6</v>
      </c>
      <c r="Y235" s="927">
        <v>5</v>
      </c>
      <c r="Z235" s="927">
        <v>8</v>
      </c>
      <c r="AA235" s="1033">
        <v>24</v>
      </c>
      <c r="AB235" s="927">
        <v>6</v>
      </c>
      <c r="AC235" s="927">
        <v>5</v>
      </c>
      <c r="AD235" s="927">
        <v>5</v>
      </c>
      <c r="AE235" s="927">
        <v>7</v>
      </c>
      <c r="AF235" s="1033">
        <v>23</v>
      </c>
      <c r="AG235" s="927">
        <v>6</v>
      </c>
      <c r="AH235" s="927">
        <v>6</v>
      </c>
      <c r="AI235" s="927">
        <v>7</v>
      </c>
      <c r="AJ235" s="927">
        <v>7</v>
      </c>
      <c r="AK235" s="1033">
        <v>26</v>
      </c>
      <c r="AL235" s="927">
        <v>5</v>
      </c>
      <c r="AM235" s="927">
        <v>5</v>
      </c>
      <c r="AN235" s="927">
        <v>7</v>
      </c>
      <c r="AO235" s="186">
        <f>AP235-SUM(AL235,AM235,AN235)</f>
        <v>10</v>
      </c>
      <c r="AP235" s="1033">
        <v>27</v>
      </c>
      <c r="AQ235" s="927">
        <v>5</v>
      </c>
      <c r="AR235" s="927">
        <v>7</v>
      </c>
      <c r="AS235" s="927">
        <v>5</v>
      </c>
      <c r="AT235" s="186">
        <f>AU235-SUM(AQ235,AR235,AS235)</f>
        <v>6</v>
      </c>
      <c r="AU235" s="1033">
        <v>23</v>
      </c>
      <c r="AV235" s="927">
        <v>4</v>
      </c>
      <c r="AW235" s="927">
        <v>4</v>
      </c>
      <c r="AX235" s="927">
        <v>6</v>
      </c>
      <c r="AY235" s="186">
        <f>AZ235-SUM(AV235,AW235,AX235)</f>
        <v>6</v>
      </c>
      <c r="AZ235" s="1033">
        <v>20</v>
      </c>
      <c r="BA235" s="927">
        <v>5</v>
      </c>
      <c r="BB235" s="927">
        <v>7</v>
      </c>
      <c r="BC235" s="927">
        <v>6</v>
      </c>
      <c r="BD235" s="186">
        <f>BE235-SUM(BA235,BB235,BC235)</f>
        <v>7</v>
      </c>
      <c r="BE235" s="1033">
        <v>25</v>
      </c>
      <c r="BF235" s="927">
        <v>9</v>
      </c>
      <c r="BG235" s="927">
        <v>6</v>
      </c>
      <c r="BH235" s="928">
        <v>7</v>
      </c>
      <c r="BI235" s="205"/>
      <c r="BJ235" s="996"/>
      <c r="BK235" s="205"/>
      <c r="BL235" s="205"/>
      <c r="BM235" s="205"/>
      <c r="BN235" s="205"/>
      <c r="BO235" s="996"/>
      <c r="BP235" s="996"/>
      <c r="BQ235" s="996"/>
      <c r="BR235" s="996"/>
      <c r="BS235" s="265"/>
    </row>
    <row r="236" spans="1:71" s="45" customFormat="1" ht="15" hidden="1" outlineLevel="1">
      <c r="A236" s="197" t="s">
        <v>398</v>
      </c>
      <c r="B236" s="470"/>
      <c r="C236" s="1008">
        <f t="shared" si="563" ref="C236:AM236">SUM(C232:C235)</f>
        <v>3812</v>
      </c>
      <c r="D236" s="1008">
        <f t="shared" si="563"/>
        <v>3785</v>
      </c>
      <c r="E236" s="1008">
        <f t="shared" si="563"/>
        <v>3615</v>
      </c>
      <c r="F236" s="1008">
        <f t="shared" si="563"/>
        <v>3467</v>
      </c>
      <c r="G236" s="1008">
        <f t="shared" si="563"/>
        <v>2261</v>
      </c>
      <c r="H236" s="185">
        <f t="shared" si="563"/>
        <v>573</v>
      </c>
      <c r="I236" s="185">
        <f t="shared" si="563"/>
        <v>592</v>
      </c>
      <c r="J236" s="185">
        <f t="shared" si="563"/>
        <v>596</v>
      </c>
      <c r="K236" s="185">
        <f t="shared" si="563"/>
        <v>586</v>
      </c>
      <c r="L236" s="1008">
        <f t="shared" si="563"/>
        <v>2347</v>
      </c>
      <c r="M236" s="185">
        <f t="shared" si="563"/>
        <v>565</v>
      </c>
      <c r="N236" s="185">
        <f t="shared" si="563"/>
        <v>586</v>
      </c>
      <c r="O236" s="185">
        <f t="shared" si="563"/>
        <v>599</v>
      </c>
      <c r="P236" s="185">
        <f t="shared" si="563"/>
        <v>580</v>
      </c>
      <c r="Q236" s="1008">
        <f t="shared" si="563"/>
        <v>2330</v>
      </c>
      <c r="R236" s="185">
        <f t="shared" si="563"/>
        <v>616</v>
      </c>
      <c r="S236" s="185">
        <f t="shared" si="563"/>
        <v>622</v>
      </c>
      <c r="T236" s="185">
        <f t="shared" si="563"/>
        <v>637</v>
      </c>
      <c r="U236" s="185">
        <f t="shared" si="563"/>
        <v>645</v>
      </c>
      <c r="V236" s="1008">
        <f t="shared" si="563"/>
        <v>2520</v>
      </c>
      <c r="W236" s="185">
        <f t="shared" si="563"/>
        <v>621</v>
      </c>
      <c r="X236" s="185">
        <f t="shared" si="563"/>
        <v>637</v>
      </c>
      <c r="Y236" s="185">
        <f t="shared" si="563"/>
        <v>653</v>
      </c>
      <c r="Z236" s="185">
        <f t="shared" si="563"/>
        <v>648</v>
      </c>
      <c r="AA236" s="1008">
        <f t="shared" si="563"/>
        <v>2559</v>
      </c>
      <c r="AB236" s="185">
        <f t="shared" si="563"/>
        <v>646</v>
      </c>
      <c r="AC236" s="185">
        <f t="shared" si="563"/>
        <v>663</v>
      </c>
      <c r="AD236" s="185">
        <f t="shared" si="563"/>
        <v>679</v>
      </c>
      <c r="AE236" s="185">
        <f t="shared" si="563"/>
        <v>688</v>
      </c>
      <c r="AF236" s="1008">
        <f t="shared" si="563"/>
        <v>2676</v>
      </c>
      <c r="AG236" s="185">
        <f t="shared" si="563"/>
        <v>668</v>
      </c>
      <c r="AH236" s="185">
        <f t="shared" si="563"/>
        <v>696</v>
      </c>
      <c r="AI236" s="185">
        <f t="shared" si="563"/>
        <v>719</v>
      </c>
      <c r="AJ236" s="185">
        <f t="shared" si="563"/>
        <v>741</v>
      </c>
      <c r="AK236" s="1008">
        <f t="shared" si="563"/>
        <v>2824</v>
      </c>
      <c r="AL236" s="185">
        <f t="shared" si="563"/>
        <v>727</v>
      </c>
      <c r="AM236" s="185">
        <f t="shared" si="563"/>
        <v>740</v>
      </c>
      <c r="AN236" s="185">
        <f>SUM(AN232:AN235)</f>
        <v>788</v>
      </c>
      <c r="AO236" s="185">
        <f t="shared" si="564" ref="AO236:AQ236">SUM(AO232:AO235)</f>
        <v>808</v>
      </c>
      <c r="AP236" s="1008">
        <f t="shared" si="564"/>
        <v>3063</v>
      </c>
      <c r="AQ236" s="185">
        <f t="shared" si="564"/>
        <v>807</v>
      </c>
      <c r="AR236" s="185">
        <f t="shared" si="565" ref="AR236:AW236">SUM(AR232:AR235)</f>
        <v>847</v>
      </c>
      <c r="AS236" s="185">
        <f t="shared" si="565"/>
        <v>874</v>
      </c>
      <c r="AT236" s="185">
        <f t="shared" si="565"/>
        <v>880</v>
      </c>
      <c r="AU236" s="1008">
        <f t="shared" si="565"/>
        <v>3408</v>
      </c>
      <c r="AV236" s="185">
        <f t="shared" si="565"/>
        <v>883</v>
      </c>
      <c r="AW236" s="185">
        <f t="shared" si="565"/>
        <v>919</v>
      </c>
      <c r="AX236" s="185">
        <f t="shared" si="566" ref="AX236:BC236">SUM(AX232:AX235)</f>
        <v>948</v>
      </c>
      <c r="AY236" s="185">
        <f t="shared" si="566"/>
        <v>946</v>
      </c>
      <c r="AZ236" s="1008">
        <f t="shared" si="566"/>
        <v>3696</v>
      </c>
      <c r="BA236" s="185">
        <f t="shared" si="566"/>
        <v>953</v>
      </c>
      <c r="BB236" s="185">
        <f t="shared" si="566"/>
        <v>996</v>
      </c>
      <c r="BC236" s="185">
        <f t="shared" si="566"/>
        <v>1027</v>
      </c>
      <c r="BD236" s="185">
        <f>SUM(BD232:BD235)</f>
        <v>1032</v>
      </c>
      <c r="BE236" s="1008">
        <f>SUM(BE232:BE235)</f>
        <v>4008</v>
      </c>
      <c r="BF236" s="185">
        <f>SUM(BF232:BF235)</f>
        <v>1055</v>
      </c>
      <c r="BG236" s="185">
        <f>SUM(BG232:BG235)</f>
        <v>1077</v>
      </c>
      <c r="BH236" s="749">
        <f>SUM(BH232:BH235)</f>
        <v>1117</v>
      </c>
      <c r="BI236" s="199"/>
      <c r="BJ236" s="1009"/>
      <c r="BK236" s="199"/>
      <c r="BL236" s="199"/>
      <c r="BM236" s="199"/>
      <c r="BN236" s="199"/>
      <c r="BO236" s="1009"/>
      <c r="BP236" s="1009"/>
      <c r="BQ236" s="1009"/>
      <c r="BR236" s="1009"/>
      <c r="BS236" s="185"/>
    </row>
    <row r="237" spans="1:71" s="261" customFormat="1" ht="15" hidden="1" outlineLevel="1">
      <c r="A237" s="264" t="s">
        <v>399</v>
      </c>
      <c r="B237" s="468"/>
      <c r="C237" s="1032">
        <v>1747</v>
      </c>
      <c r="D237" s="1032">
        <v>1700</v>
      </c>
      <c r="E237" s="1032">
        <v>1487</v>
      </c>
      <c r="F237" s="1032">
        <v>1314</v>
      </c>
      <c r="G237" s="1032">
        <v>695</v>
      </c>
      <c r="H237" s="924">
        <v>159</v>
      </c>
      <c r="I237" s="924">
        <v>110</v>
      </c>
      <c r="J237" s="924">
        <v>152</v>
      </c>
      <c r="K237" s="924">
        <v>60</v>
      </c>
      <c r="L237" s="1032">
        <v>481</v>
      </c>
      <c r="M237" s="924">
        <v>192</v>
      </c>
      <c r="N237" s="924">
        <v>192</v>
      </c>
      <c r="O237" s="924">
        <v>113</v>
      </c>
      <c r="P237" s="924">
        <v>146</v>
      </c>
      <c r="Q237" s="1032">
        <v>643</v>
      </c>
      <c r="R237" s="924">
        <v>179</v>
      </c>
      <c r="S237" s="924">
        <v>93</v>
      </c>
      <c r="T237" s="924">
        <v>186</v>
      </c>
      <c r="U237" s="924">
        <v>175</v>
      </c>
      <c r="V237" s="1032">
        <v>633</v>
      </c>
      <c r="W237" s="924">
        <v>227</v>
      </c>
      <c r="X237" s="924">
        <v>174</v>
      </c>
      <c r="Y237" s="924">
        <v>236</v>
      </c>
      <c r="Z237" s="924">
        <v>262</v>
      </c>
      <c r="AA237" s="1032">
        <v>899</v>
      </c>
      <c r="AB237" s="924">
        <v>216</v>
      </c>
      <c r="AC237" s="924">
        <v>175</v>
      </c>
      <c r="AD237" s="924">
        <v>205</v>
      </c>
      <c r="AE237" s="924">
        <v>176</v>
      </c>
      <c r="AF237" s="1032">
        <v>772</v>
      </c>
      <c r="AG237" s="924">
        <v>266</v>
      </c>
      <c r="AH237" s="924">
        <v>238</v>
      </c>
      <c r="AI237" s="924">
        <v>303</v>
      </c>
      <c r="AJ237" s="924">
        <v>287</v>
      </c>
      <c r="AK237" s="1032">
        <v>1094</v>
      </c>
      <c r="AL237" s="924">
        <v>327</v>
      </c>
      <c r="AM237" s="924">
        <v>403</v>
      </c>
      <c r="AN237" s="924">
        <v>392</v>
      </c>
      <c r="AO237" s="265">
        <f>AP237-SUM(AL237,AM237,AN237)</f>
        <v>342</v>
      </c>
      <c r="AP237" s="1032">
        <v>1464</v>
      </c>
      <c r="AQ237" s="924">
        <v>374</v>
      </c>
      <c r="AR237" s="924">
        <v>335</v>
      </c>
      <c r="AS237" s="924">
        <v>375</v>
      </c>
      <c r="AT237" s="265">
        <f>AU237-SUM(AQ237,AR237,AS237)</f>
        <v>389</v>
      </c>
      <c r="AU237" s="1032">
        <v>1473</v>
      </c>
      <c r="AV237" s="924">
        <v>354</v>
      </c>
      <c r="AW237" s="924">
        <v>331</v>
      </c>
      <c r="AX237" s="924">
        <v>334</v>
      </c>
      <c r="AY237" s="265">
        <f>AZ237-SUM(AV237,AW237,AX237)</f>
        <v>359</v>
      </c>
      <c r="AZ237" s="1032">
        <v>1378</v>
      </c>
      <c r="BA237" s="924">
        <v>380</v>
      </c>
      <c r="BB237" s="924">
        <v>366</v>
      </c>
      <c r="BC237" s="924">
        <v>351</v>
      </c>
      <c r="BD237" s="265">
        <f>BE237-SUM(BA237,BB237,BC237)</f>
        <v>388</v>
      </c>
      <c r="BE237" s="1032">
        <v>1485</v>
      </c>
      <c r="BF237" s="924">
        <v>428</v>
      </c>
      <c r="BG237" s="924">
        <v>473</v>
      </c>
      <c r="BH237" s="925">
        <v>441</v>
      </c>
      <c r="BI237" s="210"/>
      <c r="BJ237" s="994"/>
      <c r="BK237" s="210"/>
      <c r="BL237" s="210"/>
      <c r="BM237" s="210"/>
      <c r="BN237" s="210"/>
      <c r="BO237" s="994"/>
      <c r="BP237" s="994"/>
      <c r="BQ237" s="994"/>
      <c r="BR237" s="994"/>
      <c r="BS237" s="265"/>
    </row>
    <row r="238" spans="1:71" s="261" customFormat="1" ht="15" hidden="1" outlineLevel="1">
      <c r="A238" s="264" t="s">
        <v>400</v>
      </c>
      <c r="B238" s="468"/>
      <c r="C238" s="1032">
        <v>622</v>
      </c>
      <c r="D238" s="1032">
        <v>612</v>
      </c>
      <c r="E238" s="1032">
        <v>603</v>
      </c>
      <c r="F238" s="1032">
        <v>589</v>
      </c>
      <c r="G238" s="1032">
        <v>378</v>
      </c>
      <c r="H238" s="924">
        <v>93</v>
      </c>
      <c r="I238" s="924">
        <v>95</v>
      </c>
      <c r="J238" s="924">
        <v>101</v>
      </c>
      <c r="K238" s="924">
        <v>99</v>
      </c>
      <c r="L238" s="1032">
        <v>388</v>
      </c>
      <c r="M238" s="924">
        <v>94</v>
      </c>
      <c r="N238" s="924">
        <v>97</v>
      </c>
      <c r="O238" s="924">
        <v>104</v>
      </c>
      <c r="P238" s="924">
        <v>98</v>
      </c>
      <c r="Q238" s="1032">
        <v>393</v>
      </c>
      <c r="R238" s="924">
        <v>102</v>
      </c>
      <c r="S238" s="924">
        <v>104</v>
      </c>
      <c r="T238" s="924">
        <v>109</v>
      </c>
      <c r="U238" s="924">
        <v>106</v>
      </c>
      <c r="V238" s="1032">
        <v>421</v>
      </c>
      <c r="W238" s="924">
        <v>103</v>
      </c>
      <c r="X238" s="924">
        <v>108</v>
      </c>
      <c r="Y238" s="924">
        <v>111</v>
      </c>
      <c r="Z238" s="924">
        <v>110</v>
      </c>
      <c r="AA238" s="1032">
        <v>432</v>
      </c>
      <c r="AB238" s="924">
        <v>107</v>
      </c>
      <c r="AC238" s="924">
        <v>113</v>
      </c>
      <c r="AD238" s="924">
        <v>117</v>
      </c>
      <c r="AE238" s="924">
        <v>117</v>
      </c>
      <c r="AF238" s="1032">
        <v>454</v>
      </c>
      <c r="AG238" s="924">
        <v>112</v>
      </c>
      <c r="AH238" s="924">
        <v>118</v>
      </c>
      <c r="AI238" s="924">
        <v>123</v>
      </c>
      <c r="AJ238" s="924">
        <v>125</v>
      </c>
      <c r="AK238" s="1032">
        <v>478</v>
      </c>
      <c r="AL238" s="924">
        <v>124</v>
      </c>
      <c r="AM238" s="924">
        <v>128</v>
      </c>
      <c r="AN238" s="924">
        <v>133</v>
      </c>
      <c r="AO238" s="265">
        <f>AP238-SUM(AL238,AM238,AN238)</f>
        <v>134</v>
      </c>
      <c r="AP238" s="1032">
        <v>519</v>
      </c>
      <c r="AQ238" s="924">
        <v>134</v>
      </c>
      <c r="AR238" s="924">
        <v>142</v>
      </c>
      <c r="AS238" s="924">
        <v>147</v>
      </c>
      <c r="AT238" s="265">
        <f>AU238-SUM(AQ238,AR238,AS238)</f>
        <v>147</v>
      </c>
      <c r="AU238" s="1032">
        <v>570</v>
      </c>
      <c r="AV238" s="924">
        <v>149</v>
      </c>
      <c r="AW238" s="924">
        <v>155</v>
      </c>
      <c r="AX238" s="924">
        <v>162</v>
      </c>
      <c r="AY238" s="265">
        <f>AZ238-SUM(AV238,AW238,AX238)</f>
        <v>159</v>
      </c>
      <c r="AZ238" s="1032">
        <v>625</v>
      </c>
      <c r="BA238" s="924">
        <v>160</v>
      </c>
      <c r="BB238" s="924">
        <v>168</v>
      </c>
      <c r="BC238" s="924">
        <v>173</v>
      </c>
      <c r="BD238" s="265">
        <f>BE238-SUM(BA238,BB238,BC238)</f>
        <v>172</v>
      </c>
      <c r="BE238" s="1032">
        <v>673</v>
      </c>
      <c r="BF238" s="924">
        <v>182</v>
      </c>
      <c r="BG238" s="924">
        <v>183</v>
      </c>
      <c r="BH238" s="925">
        <v>194</v>
      </c>
      <c r="BI238" s="210"/>
      <c r="BJ238" s="994"/>
      <c r="BK238" s="210"/>
      <c r="BL238" s="210"/>
      <c r="BM238" s="210"/>
      <c r="BN238" s="210"/>
      <c r="BO238" s="994"/>
      <c r="BP238" s="994"/>
      <c r="BQ238" s="994"/>
      <c r="BR238" s="994"/>
      <c r="BS238" s="265"/>
    </row>
    <row r="239" spans="1:71" s="261" customFormat="1" ht="15" hidden="1" outlineLevel="1">
      <c r="A239" s="209" t="s">
        <v>401</v>
      </c>
      <c r="B239" s="469"/>
      <c r="C239" s="1033">
        <v>579</v>
      </c>
      <c r="D239" s="1033">
        <v>608</v>
      </c>
      <c r="E239" s="1033">
        <v>648</v>
      </c>
      <c r="F239" s="1033">
        <v>667</v>
      </c>
      <c r="G239" s="1033">
        <v>388</v>
      </c>
      <c r="H239" s="927">
        <v>97</v>
      </c>
      <c r="I239" s="927">
        <v>102</v>
      </c>
      <c r="J239" s="927">
        <v>101</v>
      </c>
      <c r="K239" s="927">
        <v>103</v>
      </c>
      <c r="L239" s="1033">
        <v>403</v>
      </c>
      <c r="M239" s="927">
        <v>100</v>
      </c>
      <c r="N239" s="927">
        <v>99</v>
      </c>
      <c r="O239" s="927">
        <v>93</v>
      </c>
      <c r="P239" s="927">
        <v>97</v>
      </c>
      <c r="Q239" s="1033">
        <v>389</v>
      </c>
      <c r="R239" s="927">
        <v>107</v>
      </c>
      <c r="S239" s="927">
        <v>109</v>
      </c>
      <c r="T239" s="927">
        <v>112</v>
      </c>
      <c r="U239" s="927">
        <v>117</v>
      </c>
      <c r="V239" s="1033">
        <v>445</v>
      </c>
      <c r="W239" s="927">
        <v>113</v>
      </c>
      <c r="X239" s="927">
        <v>116</v>
      </c>
      <c r="Y239" s="927">
        <v>115</v>
      </c>
      <c r="Z239" s="927">
        <v>120</v>
      </c>
      <c r="AA239" s="1033">
        <v>464</v>
      </c>
      <c r="AB239" s="927">
        <v>115</v>
      </c>
      <c r="AC239" s="927">
        <v>116</v>
      </c>
      <c r="AD239" s="927">
        <v>113</v>
      </c>
      <c r="AE239" s="927">
        <v>115</v>
      </c>
      <c r="AF239" s="1033">
        <v>459</v>
      </c>
      <c r="AG239" s="927">
        <v>117</v>
      </c>
      <c r="AH239" s="927">
        <v>120</v>
      </c>
      <c r="AI239" s="927">
        <v>124</v>
      </c>
      <c r="AJ239" s="927">
        <v>122</v>
      </c>
      <c r="AK239" s="1033">
        <v>483</v>
      </c>
      <c r="AL239" s="927">
        <v>125</v>
      </c>
      <c r="AM239" s="927">
        <v>123</v>
      </c>
      <c r="AN239" s="927">
        <v>124</v>
      </c>
      <c r="AO239" s="186">
        <f>AP239-SUM(AL239,AM239,AN239)</f>
        <v>128</v>
      </c>
      <c r="AP239" s="1033">
        <v>500</v>
      </c>
      <c r="AQ239" s="927">
        <v>130</v>
      </c>
      <c r="AR239" s="927">
        <v>135</v>
      </c>
      <c r="AS239" s="927">
        <v>135</v>
      </c>
      <c r="AT239" s="186">
        <f>AU239-SUM(AQ239,AR239,AS239)</f>
        <v>132</v>
      </c>
      <c r="AU239" s="1033">
        <v>532</v>
      </c>
      <c r="AV239" s="927">
        <v>141</v>
      </c>
      <c r="AW239" s="927">
        <v>148</v>
      </c>
      <c r="AX239" s="927">
        <v>148</v>
      </c>
      <c r="AY239" s="186">
        <f>AZ239-SUM(AV239,AW239,AX239)</f>
        <v>153</v>
      </c>
      <c r="AZ239" s="1033">
        <v>590</v>
      </c>
      <c r="BA239" s="927">
        <v>165</v>
      </c>
      <c r="BB239" s="927">
        <v>173</v>
      </c>
      <c r="BC239" s="927">
        <v>172</v>
      </c>
      <c r="BD239" s="186">
        <f>BE239-SUM(BA239,BB239,BC239)</f>
        <v>171</v>
      </c>
      <c r="BE239" s="1033">
        <v>681</v>
      </c>
      <c r="BF239" s="927">
        <v>205</v>
      </c>
      <c r="BG239" s="927">
        <v>207</v>
      </c>
      <c r="BH239" s="928">
        <v>203</v>
      </c>
      <c r="BI239" s="205"/>
      <c r="BJ239" s="996"/>
      <c r="BK239" s="205"/>
      <c r="BL239" s="205"/>
      <c r="BM239" s="205"/>
      <c r="BN239" s="205"/>
      <c r="BO239" s="996"/>
      <c r="BP239" s="996"/>
      <c r="BQ239" s="996"/>
      <c r="BR239" s="996"/>
      <c r="BS239" s="265"/>
    </row>
    <row r="240" spans="1:71" s="45" customFormat="1" ht="15" hidden="1" outlineLevel="1">
      <c r="A240" s="197" t="s">
        <v>402</v>
      </c>
      <c r="B240" s="470"/>
      <c r="C240" s="1008">
        <f t="shared" si="567" ref="C240:AM240">SUM(C237:C239)</f>
        <v>2948</v>
      </c>
      <c r="D240" s="1008">
        <f t="shared" si="567"/>
        <v>2920</v>
      </c>
      <c r="E240" s="1008">
        <f t="shared" si="567"/>
        <v>2738</v>
      </c>
      <c r="F240" s="1008">
        <f t="shared" si="567"/>
        <v>2570</v>
      </c>
      <c r="G240" s="1008">
        <f t="shared" si="567"/>
        <v>1461</v>
      </c>
      <c r="H240" s="185">
        <f t="shared" si="567"/>
        <v>349</v>
      </c>
      <c r="I240" s="185">
        <f t="shared" si="567"/>
        <v>307</v>
      </c>
      <c r="J240" s="185">
        <f t="shared" si="567"/>
        <v>354</v>
      </c>
      <c r="K240" s="185">
        <f t="shared" si="567"/>
        <v>262</v>
      </c>
      <c r="L240" s="1008">
        <f t="shared" si="567"/>
        <v>1272</v>
      </c>
      <c r="M240" s="185">
        <f t="shared" si="567"/>
        <v>386</v>
      </c>
      <c r="N240" s="185">
        <f t="shared" si="567"/>
        <v>388</v>
      </c>
      <c r="O240" s="185">
        <f t="shared" si="567"/>
        <v>310</v>
      </c>
      <c r="P240" s="185">
        <f t="shared" si="567"/>
        <v>341</v>
      </c>
      <c r="Q240" s="1008">
        <f t="shared" si="567"/>
        <v>1425</v>
      </c>
      <c r="R240" s="185">
        <f t="shared" si="567"/>
        <v>388</v>
      </c>
      <c r="S240" s="185">
        <f t="shared" si="567"/>
        <v>306</v>
      </c>
      <c r="T240" s="185">
        <f t="shared" si="567"/>
        <v>407</v>
      </c>
      <c r="U240" s="185">
        <f t="shared" si="567"/>
        <v>398</v>
      </c>
      <c r="V240" s="1008">
        <f t="shared" si="567"/>
        <v>1499</v>
      </c>
      <c r="W240" s="185">
        <f t="shared" si="567"/>
        <v>443</v>
      </c>
      <c r="X240" s="185">
        <f t="shared" si="567"/>
        <v>398</v>
      </c>
      <c r="Y240" s="185">
        <f t="shared" si="567"/>
        <v>462</v>
      </c>
      <c r="Z240" s="185">
        <f t="shared" si="567"/>
        <v>492</v>
      </c>
      <c r="AA240" s="1008">
        <f t="shared" si="567"/>
        <v>1795</v>
      </c>
      <c r="AB240" s="185">
        <f t="shared" si="567"/>
        <v>438</v>
      </c>
      <c r="AC240" s="185">
        <f t="shared" si="567"/>
        <v>404</v>
      </c>
      <c r="AD240" s="185">
        <f t="shared" si="567"/>
        <v>435</v>
      </c>
      <c r="AE240" s="185">
        <f t="shared" si="567"/>
        <v>408</v>
      </c>
      <c r="AF240" s="1008">
        <f t="shared" si="567"/>
        <v>1685</v>
      </c>
      <c r="AG240" s="185">
        <f t="shared" si="567"/>
        <v>495</v>
      </c>
      <c r="AH240" s="185">
        <f t="shared" si="567"/>
        <v>476</v>
      </c>
      <c r="AI240" s="185">
        <f t="shared" si="567"/>
        <v>550</v>
      </c>
      <c r="AJ240" s="185">
        <f t="shared" si="567"/>
        <v>534</v>
      </c>
      <c r="AK240" s="1008">
        <f t="shared" si="567"/>
        <v>2055</v>
      </c>
      <c r="AL240" s="185">
        <f t="shared" si="567"/>
        <v>576</v>
      </c>
      <c r="AM240" s="185">
        <f t="shared" si="567"/>
        <v>654</v>
      </c>
      <c r="AN240" s="185">
        <f>SUM(AN237:AN239)</f>
        <v>649</v>
      </c>
      <c r="AO240" s="185">
        <f t="shared" si="568" ref="AO240:AQ240">SUM(AO237:AO239)</f>
        <v>604</v>
      </c>
      <c r="AP240" s="1008">
        <f t="shared" si="568"/>
        <v>2483</v>
      </c>
      <c r="AQ240" s="185">
        <f t="shared" si="568"/>
        <v>638</v>
      </c>
      <c r="AR240" s="185">
        <f t="shared" si="569" ref="AR240:AW240">SUM(AR237:AR239)</f>
        <v>612</v>
      </c>
      <c r="AS240" s="185">
        <f t="shared" si="569"/>
        <v>657</v>
      </c>
      <c r="AT240" s="185">
        <f t="shared" si="569"/>
        <v>668</v>
      </c>
      <c r="AU240" s="1008">
        <f t="shared" si="569"/>
        <v>2575</v>
      </c>
      <c r="AV240" s="185">
        <f t="shared" si="569"/>
        <v>644</v>
      </c>
      <c r="AW240" s="185">
        <f t="shared" si="569"/>
        <v>634</v>
      </c>
      <c r="AX240" s="185">
        <f t="shared" si="570" ref="AX240:BC240">SUM(AX237:AX239)</f>
        <v>644</v>
      </c>
      <c r="AY240" s="185">
        <f t="shared" si="570"/>
        <v>671</v>
      </c>
      <c r="AZ240" s="1008">
        <f t="shared" si="570"/>
        <v>2593</v>
      </c>
      <c r="BA240" s="185">
        <f t="shared" si="570"/>
        <v>705</v>
      </c>
      <c r="BB240" s="185">
        <f t="shared" si="570"/>
        <v>707</v>
      </c>
      <c r="BC240" s="185">
        <f t="shared" si="570"/>
        <v>696</v>
      </c>
      <c r="BD240" s="185">
        <f>SUM(BD237:BD239)</f>
        <v>731</v>
      </c>
      <c r="BE240" s="1008">
        <f>SUM(BE237:BE239)</f>
        <v>2839</v>
      </c>
      <c r="BF240" s="185">
        <f>SUM(BF237:BF239)</f>
        <v>815</v>
      </c>
      <c r="BG240" s="185">
        <f>SUM(BG237:BG239)</f>
        <v>863</v>
      </c>
      <c r="BH240" s="749">
        <f>SUM(BH237:BH239)</f>
        <v>838</v>
      </c>
      <c r="BI240" s="199"/>
      <c r="BJ240" s="1009"/>
      <c r="BK240" s="199"/>
      <c r="BL240" s="199"/>
      <c r="BM240" s="199"/>
      <c r="BN240" s="199"/>
      <c r="BO240" s="1009"/>
      <c r="BP240" s="1009"/>
      <c r="BQ240" s="1009"/>
      <c r="BR240" s="1009"/>
      <c r="BS240" s="185"/>
    </row>
    <row r="241" spans="1:71" s="45" customFormat="1" ht="15" hidden="1" outlineLevel="1">
      <c r="A241" s="197" t="s">
        <v>403</v>
      </c>
      <c r="B241" s="470"/>
      <c r="C241" s="1008">
        <f t="shared" si="571" ref="C241:AM241">C236-C240</f>
        <v>864</v>
      </c>
      <c r="D241" s="1008">
        <f t="shared" si="571"/>
        <v>865</v>
      </c>
      <c r="E241" s="1008">
        <f t="shared" si="571"/>
        <v>877</v>
      </c>
      <c r="F241" s="1008">
        <f t="shared" si="571"/>
        <v>897</v>
      </c>
      <c r="G241" s="1008">
        <f t="shared" si="571"/>
        <v>800</v>
      </c>
      <c r="H241" s="185">
        <f t="shared" si="571"/>
        <v>224</v>
      </c>
      <c r="I241" s="185">
        <f t="shared" si="571"/>
        <v>285</v>
      </c>
      <c r="J241" s="185">
        <f t="shared" si="571"/>
        <v>242</v>
      </c>
      <c r="K241" s="185">
        <f t="shared" si="571"/>
        <v>324</v>
      </c>
      <c r="L241" s="1008">
        <f t="shared" si="571"/>
        <v>1075</v>
      </c>
      <c r="M241" s="185">
        <f t="shared" si="571"/>
        <v>179</v>
      </c>
      <c r="N241" s="185">
        <f t="shared" si="571"/>
        <v>198</v>
      </c>
      <c r="O241" s="185">
        <f t="shared" si="571"/>
        <v>289</v>
      </c>
      <c r="P241" s="185">
        <f t="shared" si="571"/>
        <v>239</v>
      </c>
      <c r="Q241" s="1008">
        <f t="shared" si="571"/>
        <v>905</v>
      </c>
      <c r="R241" s="185">
        <f t="shared" si="571"/>
        <v>228</v>
      </c>
      <c r="S241" s="185">
        <f t="shared" si="571"/>
        <v>316</v>
      </c>
      <c r="T241" s="185">
        <f t="shared" si="571"/>
        <v>230</v>
      </c>
      <c r="U241" s="185">
        <f t="shared" si="571"/>
        <v>247</v>
      </c>
      <c r="V241" s="1008">
        <f t="shared" si="571"/>
        <v>1021</v>
      </c>
      <c r="W241" s="185">
        <f t="shared" si="571"/>
        <v>178</v>
      </c>
      <c r="X241" s="185">
        <f t="shared" si="571"/>
        <v>239</v>
      </c>
      <c r="Y241" s="185">
        <f t="shared" si="571"/>
        <v>191</v>
      </c>
      <c r="Z241" s="185">
        <f t="shared" si="571"/>
        <v>156</v>
      </c>
      <c r="AA241" s="1008">
        <f t="shared" si="571"/>
        <v>764</v>
      </c>
      <c r="AB241" s="185">
        <f t="shared" si="571"/>
        <v>208</v>
      </c>
      <c r="AC241" s="185">
        <f t="shared" si="571"/>
        <v>259</v>
      </c>
      <c r="AD241" s="185">
        <f t="shared" si="571"/>
        <v>244</v>
      </c>
      <c r="AE241" s="185">
        <f t="shared" si="571"/>
        <v>280</v>
      </c>
      <c r="AF241" s="1008">
        <f t="shared" si="571"/>
        <v>991</v>
      </c>
      <c r="AG241" s="185">
        <f t="shared" si="571"/>
        <v>173</v>
      </c>
      <c r="AH241" s="185">
        <f t="shared" si="571"/>
        <v>220</v>
      </c>
      <c r="AI241" s="185">
        <f t="shared" si="571"/>
        <v>169</v>
      </c>
      <c r="AJ241" s="185">
        <f t="shared" si="571"/>
        <v>207</v>
      </c>
      <c r="AK241" s="1008">
        <f t="shared" si="571"/>
        <v>769</v>
      </c>
      <c r="AL241" s="185">
        <f t="shared" si="571"/>
        <v>151</v>
      </c>
      <c r="AM241" s="185">
        <f t="shared" si="571"/>
        <v>86</v>
      </c>
      <c r="AN241" s="185">
        <f>AN236-AN240</f>
        <v>139</v>
      </c>
      <c r="AO241" s="185">
        <f t="shared" si="572" ref="AO241:AQ241">AO236-AO240</f>
        <v>204</v>
      </c>
      <c r="AP241" s="1008">
        <f t="shared" si="572"/>
        <v>580</v>
      </c>
      <c r="AQ241" s="185">
        <f t="shared" si="572"/>
        <v>169</v>
      </c>
      <c r="AR241" s="185">
        <f t="shared" si="573" ref="AR241:AW241">AR236-AR240</f>
        <v>235</v>
      </c>
      <c r="AS241" s="185">
        <f t="shared" si="573"/>
        <v>217</v>
      </c>
      <c r="AT241" s="185">
        <f t="shared" si="573"/>
        <v>212</v>
      </c>
      <c r="AU241" s="1008">
        <f t="shared" si="573"/>
        <v>833</v>
      </c>
      <c r="AV241" s="185">
        <f t="shared" si="573"/>
        <v>239</v>
      </c>
      <c r="AW241" s="185">
        <f t="shared" si="573"/>
        <v>285</v>
      </c>
      <c r="AX241" s="185">
        <f t="shared" si="574" ref="AX241:BC241">AX236-AX240</f>
        <v>304</v>
      </c>
      <c r="AY241" s="185">
        <f t="shared" si="574"/>
        <v>275</v>
      </c>
      <c r="AZ241" s="1008">
        <f t="shared" si="574"/>
        <v>1103</v>
      </c>
      <c r="BA241" s="185">
        <f t="shared" si="574"/>
        <v>248</v>
      </c>
      <c r="BB241" s="185">
        <f t="shared" si="574"/>
        <v>289</v>
      </c>
      <c r="BC241" s="185">
        <f t="shared" si="574"/>
        <v>331</v>
      </c>
      <c r="BD241" s="185">
        <f>BD236-BD240</f>
        <v>301</v>
      </c>
      <c r="BE241" s="1008">
        <f>BE236-BE240</f>
        <v>1169</v>
      </c>
      <c r="BF241" s="185">
        <f>BF236-BF240</f>
        <v>240</v>
      </c>
      <c r="BG241" s="185">
        <f>BG236-BG240</f>
        <v>214</v>
      </c>
      <c r="BH241" s="749">
        <f>BH236-BH240</f>
        <v>279</v>
      </c>
      <c r="BI241" s="199"/>
      <c r="BJ241" s="1009"/>
      <c r="BK241" s="199"/>
      <c r="BL241" s="199"/>
      <c r="BM241" s="199"/>
      <c r="BN241" s="199"/>
      <c r="BO241" s="1009"/>
      <c r="BP241" s="1009"/>
      <c r="BQ241" s="1009"/>
      <c r="BR241" s="1009"/>
      <c r="BS241" s="185"/>
    </row>
    <row r="242" spans="1:71" s="261" customFormat="1" ht="15" hidden="1" outlineLevel="1">
      <c r="A242" s="209" t="s">
        <v>404</v>
      </c>
      <c r="B242" s="469"/>
      <c r="C242" s="1033">
        <v>222</v>
      </c>
      <c r="D242" s="1033">
        <v>245</v>
      </c>
      <c r="E242" s="1033">
        <v>230</v>
      </c>
      <c r="F242" s="1033">
        <v>255</v>
      </c>
      <c r="G242" s="1033">
        <v>227</v>
      </c>
      <c r="H242" s="927">
        <v>70</v>
      </c>
      <c r="I242" s="927">
        <v>93</v>
      </c>
      <c r="J242" s="927">
        <v>77</v>
      </c>
      <c r="K242" s="927">
        <v>108</v>
      </c>
      <c r="L242" s="1033">
        <v>348</v>
      </c>
      <c r="M242" s="927">
        <v>55</v>
      </c>
      <c r="N242" s="927">
        <v>47</v>
      </c>
      <c r="O242" s="927">
        <v>93</v>
      </c>
      <c r="P242" s="927">
        <v>77</v>
      </c>
      <c r="Q242" s="1033">
        <v>272</v>
      </c>
      <c r="R242" s="927">
        <v>68</v>
      </c>
      <c r="S242" s="927">
        <v>101</v>
      </c>
      <c r="T242" s="927">
        <v>65</v>
      </c>
      <c r="U242" s="927">
        <v>75</v>
      </c>
      <c r="V242" s="1033">
        <v>309</v>
      </c>
      <c r="W242" s="927">
        <v>33</v>
      </c>
      <c r="X242" s="927">
        <v>76</v>
      </c>
      <c r="Y242" s="927">
        <v>55</v>
      </c>
      <c r="Z242" s="927">
        <v>44</v>
      </c>
      <c r="AA242" s="1033">
        <v>208</v>
      </c>
      <c r="AB242" s="927">
        <v>35</v>
      </c>
      <c r="AC242" s="927">
        <v>55</v>
      </c>
      <c r="AD242" s="927">
        <v>48</v>
      </c>
      <c r="AE242" s="927">
        <v>60</v>
      </c>
      <c r="AF242" s="1033">
        <v>198</v>
      </c>
      <c r="AG242" s="927">
        <v>35</v>
      </c>
      <c r="AH242" s="927">
        <v>46</v>
      </c>
      <c r="AI242" s="927">
        <v>30</v>
      </c>
      <c r="AJ242" s="927">
        <v>40</v>
      </c>
      <c r="AK242" s="1033">
        <v>151</v>
      </c>
      <c r="AL242" s="927">
        <v>29</v>
      </c>
      <c r="AM242" s="927">
        <v>14</v>
      </c>
      <c r="AN242" s="927">
        <v>24</v>
      </c>
      <c r="AO242" s="186">
        <f>AP242-SUM(AL242,AM242,AN242)</f>
        <v>40</v>
      </c>
      <c r="AP242" s="1033">
        <v>107</v>
      </c>
      <c r="AQ242" s="927">
        <v>32</v>
      </c>
      <c r="AR242" s="927">
        <v>48</v>
      </c>
      <c r="AS242" s="927">
        <v>43</v>
      </c>
      <c r="AT242" s="186">
        <f>AU242-SUM(AQ242,AR242,AS242)</f>
        <v>42</v>
      </c>
      <c r="AU242" s="1033">
        <v>165</v>
      </c>
      <c r="AV242" s="927">
        <v>22</v>
      </c>
      <c r="AW242" s="927">
        <v>57</v>
      </c>
      <c r="AX242" s="927">
        <v>62</v>
      </c>
      <c r="AY242" s="186">
        <f>AZ242-SUM(AV242,AW242,AX242)</f>
        <v>54</v>
      </c>
      <c r="AZ242" s="1033">
        <v>195</v>
      </c>
      <c r="BA242" s="927">
        <v>41</v>
      </c>
      <c r="BB242" s="927">
        <v>59</v>
      </c>
      <c r="BC242" s="927">
        <v>66</v>
      </c>
      <c r="BD242" s="186">
        <f>BE242-SUM(BA242,BB242,BC242)</f>
        <v>61</v>
      </c>
      <c r="BE242" s="1033">
        <v>227</v>
      </c>
      <c r="BF242" s="927">
        <v>45</v>
      </c>
      <c r="BG242" s="927">
        <v>44</v>
      </c>
      <c r="BH242" s="928">
        <v>57</v>
      </c>
      <c r="BI242" s="205"/>
      <c r="BJ242" s="996"/>
      <c r="BK242" s="205"/>
      <c r="BL242" s="205"/>
      <c r="BM242" s="205"/>
      <c r="BN242" s="205"/>
      <c r="BO242" s="996"/>
      <c r="BP242" s="996"/>
      <c r="BQ242" s="996"/>
      <c r="BR242" s="996"/>
      <c r="BS242" s="265"/>
    </row>
    <row r="243" spans="1:71" s="45" customFormat="1" ht="15" hidden="1" outlineLevel="1">
      <c r="A243" s="197" t="s">
        <v>405</v>
      </c>
      <c r="B243" s="470"/>
      <c r="C243" s="1008">
        <f t="shared" si="575" ref="C243:AM243">C241-C242</f>
        <v>642</v>
      </c>
      <c r="D243" s="1008">
        <f t="shared" si="575"/>
        <v>620</v>
      </c>
      <c r="E243" s="1008">
        <f t="shared" si="575"/>
        <v>647</v>
      </c>
      <c r="F243" s="1008">
        <f t="shared" si="575"/>
        <v>642</v>
      </c>
      <c r="G243" s="1008">
        <f t="shared" si="575"/>
        <v>573</v>
      </c>
      <c r="H243" s="185">
        <f t="shared" si="575"/>
        <v>154</v>
      </c>
      <c r="I243" s="185">
        <f t="shared" si="575"/>
        <v>192</v>
      </c>
      <c r="J243" s="185">
        <f t="shared" si="575"/>
        <v>165</v>
      </c>
      <c r="K243" s="185">
        <f t="shared" si="575"/>
        <v>216</v>
      </c>
      <c r="L243" s="1008">
        <f t="shared" si="575"/>
        <v>727</v>
      </c>
      <c r="M243" s="185">
        <f t="shared" si="575"/>
        <v>124</v>
      </c>
      <c r="N243" s="185">
        <f t="shared" si="575"/>
        <v>151</v>
      </c>
      <c r="O243" s="185">
        <f t="shared" si="575"/>
        <v>196</v>
      </c>
      <c r="P243" s="185">
        <f t="shared" si="575"/>
        <v>162</v>
      </c>
      <c r="Q243" s="1008">
        <f t="shared" si="575"/>
        <v>633</v>
      </c>
      <c r="R243" s="185">
        <f t="shared" si="575"/>
        <v>160</v>
      </c>
      <c r="S243" s="185">
        <f t="shared" si="575"/>
        <v>215</v>
      </c>
      <c r="T243" s="185">
        <f t="shared" si="575"/>
        <v>165</v>
      </c>
      <c r="U243" s="185">
        <f t="shared" si="575"/>
        <v>172</v>
      </c>
      <c r="V243" s="1008">
        <f t="shared" si="575"/>
        <v>712</v>
      </c>
      <c r="W243" s="185">
        <f t="shared" si="575"/>
        <v>145</v>
      </c>
      <c r="X243" s="185">
        <f t="shared" si="575"/>
        <v>163</v>
      </c>
      <c r="Y243" s="185">
        <f t="shared" si="575"/>
        <v>136</v>
      </c>
      <c r="Z243" s="185">
        <f t="shared" si="575"/>
        <v>112</v>
      </c>
      <c r="AA243" s="1008">
        <f t="shared" si="575"/>
        <v>556</v>
      </c>
      <c r="AB243" s="185">
        <f t="shared" si="575"/>
        <v>173</v>
      </c>
      <c r="AC243" s="185">
        <f t="shared" si="575"/>
        <v>204</v>
      </c>
      <c r="AD243" s="185">
        <f t="shared" si="575"/>
        <v>196</v>
      </c>
      <c r="AE243" s="185">
        <f t="shared" si="575"/>
        <v>220</v>
      </c>
      <c r="AF243" s="1008">
        <f t="shared" si="575"/>
        <v>793</v>
      </c>
      <c r="AG243" s="185">
        <f t="shared" si="575"/>
        <v>138</v>
      </c>
      <c r="AH243" s="185">
        <f t="shared" si="575"/>
        <v>174</v>
      </c>
      <c r="AI243" s="185">
        <f t="shared" si="575"/>
        <v>139</v>
      </c>
      <c r="AJ243" s="185">
        <f t="shared" si="575"/>
        <v>167</v>
      </c>
      <c r="AK243" s="1008">
        <f t="shared" si="575"/>
        <v>618</v>
      </c>
      <c r="AL243" s="185">
        <f t="shared" si="575"/>
        <v>122</v>
      </c>
      <c r="AM243" s="185">
        <f t="shared" si="575"/>
        <v>72</v>
      </c>
      <c r="AN243" s="185">
        <f>AN241-AN242</f>
        <v>115</v>
      </c>
      <c r="AO243" s="185">
        <f t="shared" si="576" ref="AO243:AQ243">AO241-AO242</f>
        <v>164</v>
      </c>
      <c r="AP243" s="1008">
        <f t="shared" si="576"/>
        <v>473</v>
      </c>
      <c r="AQ243" s="185">
        <f t="shared" si="576"/>
        <v>137</v>
      </c>
      <c r="AR243" s="185">
        <f t="shared" si="577" ref="AR243:AW243">AR241-AR242</f>
        <v>187</v>
      </c>
      <c r="AS243" s="185">
        <f t="shared" si="577"/>
        <v>174</v>
      </c>
      <c r="AT243" s="185">
        <f t="shared" si="577"/>
        <v>170</v>
      </c>
      <c r="AU243" s="1008">
        <f t="shared" si="577"/>
        <v>668</v>
      </c>
      <c r="AV243" s="185">
        <f t="shared" si="577"/>
        <v>217</v>
      </c>
      <c r="AW243" s="185">
        <f t="shared" si="577"/>
        <v>228</v>
      </c>
      <c r="AX243" s="185">
        <f t="shared" si="578" ref="AX243:BC243">AX241-AX242</f>
        <v>242</v>
      </c>
      <c r="AY243" s="185">
        <f t="shared" si="578"/>
        <v>221</v>
      </c>
      <c r="AZ243" s="1008">
        <f t="shared" si="578"/>
        <v>908</v>
      </c>
      <c r="BA243" s="185">
        <f t="shared" si="578"/>
        <v>207</v>
      </c>
      <c r="BB243" s="185">
        <f t="shared" si="578"/>
        <v>230</v>
      </c>
      <c r="BC243" s="185">
        <f t="shared" si="578"/>
        <v>265</v>
      </c>
      <c r="BD243" s="185">
        <f>BD241-BD242</f>
        <v>240</v>
      </c>
      <c r="BE243" s="1008">
        <f>BE241-BE242</f>
        <v>942</v>
      </c>
      <c r="BF243" s="185">
        <f>BF241-BF242</f>
        <v>195</v>
      </c>
      <c r="BG243" s="185">
        <f>BG241-BG242</f>
        <v>170</v>
      </c>
      <c r="BH243" s="749">
        <f>BH241-BH242</f>
        <v>222</v>
      </c>
      <c r="BI243" s="199"/>
      <c r="BJ243" s="1009"/>
      <c r="BK243" s="199"/>
      <c r="BL243" s="199"/>
      <c r="BM243" s="199"/>
      <c r="BN243" s="199"/>
      <c r="BO243" s="1009"/>
      <c r="BP243" s="1009"/>
      <c r="BQ243" s="1009"/>
      <c r="BR243" s="1009"/>
      <c r="BS243" s="185"/>
    </row>
    <row r="244" spans="1:71" s="261" customFormat="1" ht="15" hidden="1" outlineLevel="1">
      <c r="A244" s="471"/>
      <c r="B244" s="468"/>
      <c r="C244" s="994"/>
      <c r="D244" s="994"/>
      <c r="E244" s="994"/>
      <c r="F244" s="994"/>
      <c r="G244" s="994"/>
      <c r="H244" s="210"/>
      <c r="I244" s="210"/>
      <c r="J244" s="210"/>
      <c r="K244" s="210"/>
      <c r="L244" s="994"/>
      <c r="M244" s="210"/>
      <c r="N244" s="210"/>
      <c r="O244" s="210"/>
      <c r="P244" s="210"/>
      <c r="Q244" s="994"/>
      <c r="R244" s="210"/>
      <c r="S244" s="210"/>
      <c r="T244" s="210"/>
      <c r="U244" s="210"/>
      <c r="V244" s="994"/>
      <c r="W244" s="210"/>
      <c r="X244" s="210"/>
      <c r="Y244" s="210"/>
      <c r="Z244" s="210"/>
      <c r="AA244" s="994"/>
      <c r="AB244" s="210"/>
      <c r="AC244" s="210"/>
      <c r="AD244" s="210"/>
      <c r="AE244" s="210"/>
      <c r="AF244" s="994"/>
      <c r="AG244" s="210"/>
      <c r="AH244" s="210"/>
      <c r="AI244" s="210"/>
      <c r="AJ244" s="210"/>
      <c r="AK244" s="994"/>
      <c r="AL244" s="210"/>
      <c r="AM244" s="210"/>
      <c r="AN244" s="210"/>
      <c r="AO244" s="210"/>
      <c r="AP244" s="994"/>
      <c r="AQ244" s="210"/>
      <c r="AR244" s="210"/>
      <c r="AS244" s="210"/>
      <c r="AT244" s="210"/>
      <c r="AU244" s="994"/>
      <c r="AV244" s="210"/>
      <c r="AW244" s="210"/>
      <c r="AX244" s="210"/>
      <c r="AY244" s="210"/>
      <c r="AZ244" s="994"/>
      <c r="BA244" s="210"/>
      <c r="BB244" s="210"/>
      <c r="BC244" s="210"/>
      <c r="BD244" s="210"/>
      <c r="BE244" s="994"/>
      <c r="BF244" s="210"/>
      <c r="BG244" s="210"/>
      <c r="BH244" s="553"/>
      <c r="BI244" s="210"/>
      <c r="BJ244" s="994"/>
      <c r="BK244" s="210"/>
      <c r="BL244" s="210"/>
      <c r="BM244" s="210"/>
      <c r="BN244" s="210"/>
      <c r="BO244" s="994"/>
      <c r="BP244" s="994"/>
      <c r="BQ244" s="994"/>
      <c r="BR244" s="994"/>
      <c r="BS244" s="265"/>
    </row>
    <row r="245" spans="1:71" s="261" customFormat="1" ht="15" hidden="1" outlineLevel="1">
      <c r="A245" s="264" t="s">
        <v>406</v>
      </c>
      <c r="B245" s="468"/>
      <c r="C245" s="1032">
        <v>266</v>
      </c>
      <c r="D245" s="1032">
        <v>254</v>
      </c>
      <c r="E245" s="1032">
        <v>299</v>
      </c>
      <c r="F245" s="1032">
        <v>305</v>
      </c>
      <c r="G245" s="1032">
        <v>346</v>
      </c>
      <c r="H245" s="924">
        <v>99</v>
      </c>
      <c r="I245" s="924">
        <v>136</v>
      </c>
      <c r="J245" s="924">
        <v>110</v>
      </c>
      <c r="K245" s="924">
        <v>164</v>
      </c>
      <c r="L245" s="1032">
        <v>509</v>
      </c>
      <c r="M245" s="924">
        <v>75</v>
      </c>
      <c r="N245" s="924">
        <v>101</v>
      </c>
      <c r="O245" s="924">
        <v>148</v>
      </c>
      <c r="P245" s="924">
        <v>113</v>
      </c>
      <c r="Q245" s="1032">
        <v>437</v>
      </c>
      <c r="R245" s="924">
        <v>108</v>
      </c>
      <c r="S245" s="924">
        <v>163</v>
      </c>
      <c r="T245" s="924">
        <v>108</v>
      </c>
      <c r="U245" s="924">
        <v>115</v>
      </c>
      <c r="V245" s="1032">
        <v>494</v>
      </c>
      <c r="W245" s="924">
        <v>89</v>
      </c>
      <c r="X245" s="924">
        <v>114</v>
      </c>
      <c r="Y245" s="924">
        <v>85</v>
      </c>
      <c r="Z245" s="924">
        <v>64</v>
      </c>
      <c r="AA245" s="1032">
        <v>352</v>
      </c>
      <c r="AB245" s="924">
        <v>119</v>
      </c>
      <c r="AC245" s="924">
        <v>153</v>
      </c>
      <c r="AD245" s="924">
        <v>143</v>
      </c>
      <c r="AE245" s="924">
        <v>165</v>
      </c>
      <c r="AF245" s="1032">
        <v>580</v>
      </c>
      <c r="AG245" s="924">
        <v>86</v>
      </c>
      <c r="AH245" s="924">
        <v>120</v>
      </c>
      <c r="AI245" s="924">
        <v>85</v>
      </c>
      <c r="AJ245" s="924">
        <v>111</v>
      </c>
      <c r="AK245" s="1032">
        <v>402</v>
      </c>
      <c r="AL245" s="924">
        <v>72</v>
      </c>
      <c r="AM245" s="924">
        <v>29</v>
      </c>
      <c r="AN245" s="924">
        <v>61</v>
      </c>
      <c r="AO245" s="265">
        <f>AP245-SUM(AL245,AM245,AN245)</f>
        <v>107</v>
      </c>
      <c r="AP245" s="1032">
        <v>269</v>
      </c>
      <c r="AQ245" s="924">
        <v>84</v>
      </c>
      <c r="AR245" s="924">
        <v>128</v>
      </c>
      <c r="AS245" s="924">
        <v>118</v>
      </c>
      <c r="AT245" s="265">
        <f>AU245-SUM(AQ245,AR245,AS245)</f>
        <v>114</v>
      </c>
      <c r="AU245" s="1032">
        <v>444</v>
      </c>
      <c r="AV245" s="924">
        <v>165</v>
      </c>
      <c r="AW245" s="924">
        <v>171</v>
      </c>
      <c r="AX245" s="924">
        <v>185</v>
      </c>
      <c r="AY245" s="265">
        <f>AZ245-SUM(AV245,AW245,AX245)</f>
        <v>158</v>
      </c>
      <c r="AZ245" s="1032">
        <v>679</v>
      </c>
      <c r="BA245" s="924">
        <v>143</v>
      </c>
      <c r="BB245" s="924">
        <v>160</v>
      </c>
      <c r="BC245" s="924">
        <v>190</v>
      </c>
      <c r="BD245" s="265">
        <f>BE245-SUM(BA245,BB245,BC245)</f>
        <v>163</v>
      </c>
      <c r="BE245" s="1032">
        <v>656</v>
      </c>
      <c r="BF245" s="924">
        <v>116</v>
      </c>
      <c r="BG245" s="924">
        <v>90</v>
      </c>
      <c r="BH245" s="925">
        <v>135</v>
      </c>
      <c r="BI245" s="210"/>
      <c r="BJ245" s="994"/>
      <c r="BK245" s="210"/>
      <c r="BL245" s="210"/>
      <c r="BM245" s="210"/>
      <c r="BN245" s="210"/>
      <c r="BO245" s="994"/>
      <c r="BP245" s="994"/>
      <c r="BQ245" s="994"/>
      <c r="BR245" s="994"/>
      <c r="BS245" s="265"/>
    </row>
    <row r="246" spans="1:71" s="261" customFormat="1" ht="15" hidden="1" outlineLevel="1">
      <c r="A246" s="264" t="s">
        <v>407</v>
      </c>
      <c r="B246" s="468"/>
      <c r="C246" s="1032">
        <v>358</v>
      </c>
      <c r="D246" s="1032">
        <v>348</v>
      </c>
      <c r="E246" s="1032">
        <v>332</v>
      </c>
      <c r="F246" s="1032">
        <v>319</v>
      </c>
      <c r="G246" s="1032">
        <v>214</v>
      </c>
      <c r="H246" s="924">
        <v>53</v>
      </c>
      <c r="I246" s="924">
        <v>52</v>
      </c>
      <c r="J246" s="924">
        <v>51</v>
      </c>
      <c r="K246" s="924">
        <v>49</v>
      </c>
      <c r="L246" s="1032">
        <v>205</v>
      </c>
      <c r="M246" s="924">
        <v>46</v>
      </c>
      <c r="N246" s="924">
        <v>47</v>
      </c>
      <c r="O246" s="924">
        <v>45</v>
      </c>
      <c r="P246" s="924">
        <v>44</v>
      </c>
      <c r="Q246" s="1032">
        <v>182</v>
      </c>
      <c r="R246" s="924">
        <v>50</v>
      </c>
      <c r="S246" s="924">
        <v>48</v>
      </c>
      <c r="T246" s="924">
        <v>53</v>
      </c>
      <c r="U246" s="924">
        <v>53</v>
      </c>
      <c r="V246" s="1032">
        <v>204</v>
      </c>
      <c r="W246" s="924">
        <v>52</v>
      </c>
      <c r="X246" s="924">
        <v>46</v>
      </c>
      <c r="Y246" s="924">
        <v>47</v>
      </c>
      <c r="Z246" s="924">
        <v>43</v>
      </c>
      <c r="AA246" s="1032">
        <v>188</v>
      </c>
      <c r="AB246" s="924">
        <v>50</v>
      </c>
      <c r="AC246" s="924">
        <v>48</v>
      </c>
      <c r="AD246" s="924">
        <v>49</v>
      </c>
      <c r="AE246" s="924">
        <v>52</v>
      </c>
      <c r="AF246" s="1032">
        <v>199</v>
      </c>
      <c r="AG246" s="924">
        <v>47</v>
      </c>
      <c r="AH246" s="924">
        <v>50</v>
      </c>
      <c r="AI246" s="924">
        <v>50</v>
      </c>
      <c r="AJ246" s="924">
        <v>52</v>
      </c>
      <c r="AK246" s="1032">
        <v>199</v>
      </c>
      <c r="AL246" s="924">
        <v>47</v>
      </c>
      <c r="AM246" s="924">
        <v>41</v>
      </c>
      <c r="AN246" s="924">
        <v>49</v>
      </c>
      <c r="AO246" s="265">
        <f>AP246-SUM(AL246,AM246,AN246)</f>
        <v>50</v>
      </c>
      <c r="AP246" s="1032">
        <v>187</v>
      </c>
      <c r="AQ246" s="924">
        <v>50</v>
      </c>
      <c r="AR246" s="924">
        <v>55</v>
      </c>
      <c r="AS246" s="924">
        <v>53</v>
      </c>
      <c r="AT246" s="265">
        <f>AU246-SUM(AQ246,AR246,AS246)</f>
        <v>52</v>
      </c>
      <c r="AU246" s="1032">
        <v>210</v>
      </c>
      <c r="AV246" s="924">
        <v>50</v>
      </c>
      <c r="AW246" s="924">
        <v>55</v>
      </c>
      <c r="AX246" s="924">
        <v>54</v>
      </c>
      <c r="AY246" s="265">
        <f>AZ246-SUM(AV246,AW246,AX246)</f>
        <v>59</v>
      </c>
      <c r="AZ246" s="1032">
        <v>218</v>
      </c>
      <c r="BA246" s="924">
        <v>61</v>
      </c>
      <c r="BB246" s="924">
        <v>65</v>
      </c>
      <c r="BC246" s="924">
        <v>71</v>
      </c>
      <c r="BD246" s="265">
        <f>BE246-SUM(BA246,BB246,BC246)</f>
        <v>75</v>
      </c>
      <c r="BE246" s="1032">
        <v>272</v>
      </c>
      <c r="BF246" s="924">
        <v>74</v>
      </c>
      <c r="BG246" s="924">
        <v>77</v>
      </c>
      <c r="BH246" s="925">
        <v>81</v>
      </c>
      <c r="BI246" s="210"/>
      <c r="BJ246" s="994"/>
      <c r="BK246" s="210"/>
      <c r="BL246" s="210"/>
      <c r="BM246" s="210"/>
      <c r="BN246" s="210"/>
      <c r="BO246" s="994"/>
      <c r="BP246" s="994"/>
      <c r="BQ246" s="994"/>
      <c r="BR246" s="994"/>
      <c r="BS246" s="265"/>
    </row>
    <row r="247" spans="1:71" s="261" customFormat="1" ht="15" hidden="1" outlineLevel="1">
      <c r="A247" s="209" t="s">
        <v>408</v>
      </c>
      <c r="B247" s="469"/>
      <c r="C247" s="1033">
        <v>18</v>
      </c>
      <c r="D247" s="1033">
        <v>18</v>
      </c>
      <c r="E247" s="1033">
        <v>16</v>
      </c>
      <c r="F247" s="1033">
        <v>18</v>
      </c>
      <c r="G247" s="1033">
        <v>13</v>
      </c>
      <c r="H247" s="927">
        <v>2</v>
      </c>
      <c r="I247" s="927">
        <v>4</v>
      </c>
      <c r="J247" s="927">
        <v>4</v>
      </c>
      <c r="K247" s="927">
        <v>3</v>
      </c>
      <c r="L247" s="1033">
        <v>13</v>
      </c>
      <c r="M247" s="927">
        <v>3</v>
      </c>
      <c r="N247" s="927">
        <v>3</v>
      </c>
      <c r="O247" s="927">
        <v>3</v>
      </c>
      <c r="P247" s="927">
        <v>5</v>
      </c>
      <c r="Q247" s="1033">
        <v>14</v>
      </c>
      <c r="R247" s="927">
        <v>2</v>
      </c>
      <c r="S247" s="927">
        <v>4</v>
      </c>
      <c r="T247" s="927">
        <v>4</v>
      </c>
      <c r="U247" s="927">
        <v>4</v>
      </c>
      <c r="V247" s="1033">
        <v>14</v>
      </c>
      <c r="W247" s="927">
        <v>4</v>
      </c>
      <c r="X247" s="927">
        <v>3</v>
      </c>
      <c r="Y247" s="927">
        <v>4</v>
      </c>
      <c r="Z247" s="927">
        <v>5</v>
      </c>
      <c r="AA247" s="1033">
        <v>16</v>
      </c>
      <c r="AB247" s="927">
        <v>4</v>
      </c>
      <c r="AC247" s="927">
        <v>3</v>
      </c>
      <c r="AD247" s="927">
        <v>4</v>
      </c>
      <c r="AE247" s="927">
        <v>3</v>
      </c>
      <c r="AF247" s="1033">
        <v>14</v>
      </c>
      <c r="AG247" s="927">
        <v>5</v>
      </c>
      <c r="AH247" s="927">
        <v>4</v>
      </c>
      <c r="AI247" s="927">
        <v>4</v>
      </c>
      <c r="AJ247" s="927">
        <v>4</v>
      </c>
      <c r="AK247" s="1033">
        <v>17</v>
      </c>
      <c r="AL247" s="927">
        <v>3</v>
      </c>
      <c r="AM247" s="927">
        <v>2</v>
      </c>
      <c r="AN247" s="927">
        <v>5</v>
      </c>
      <c r="AO247" s="186">
        <f>AP247-SUM(AL247,AM247,AN247)</f>
        <v>7</v>
      </c>
      <c r="AP247" s="1033">
        <v>17</v>
      </c>
      <c r="AQ247" s="927">
        <v>3</v>
      </c>
      <c r="AR247" s="927">
        <v>4</v>
      </c>
      <c r="AS247" s="927">
        <v>3</v>
      </c>
      <c r="AT247" s="186">
        <f>AU247-SUM(AQ247,AR247,AS247)</f>
        <v>4</v>
      </c>
      <c r="AU247" s="1033">
        <v>14</v>
      </c>
      <c r="AV247" s="927">
        <v>2</v>
      </c>
      <c r="AW247" s="927">
        <v>2</v>
      </c>
      <c r="AX247" s="927">
        <v>3</v>
      </c>
      <c r="AY247" s="186">
        <f>AZ247-SUM(AV247,AW247,AX247)</f>
        <v>4</v>
      </c>
      <c r="AZ247" s="1033">
        <v>11</v>
      </c>
      <c r="BA247" s="927">
        <v>3</v>
      </c>
      <c r="BB247" s="927">
        <v>5</v>
      </c>
      <c r="BC247" s="927">
        <v>4</v>
      </c>
      <c r="BD247" s="186">
        <f>BE247-SUM(BA247,BB247,BC247)</f>
        <v>2</v>
      </c>
      <c r="BE247" s="1033">
        <v>14</v>
      </c>
      <c r="BF247" s="927">
        <v>5</v>
      </c>
      <c r="BG247" s="927">
        <v>3</v>
      </c>
      <c r="BH247" s="928">
        <v>6</v>
      </c>
      <c r="BI247" s="205"/>
      <c r="BJ247" s="996"/>
      <c r="BK247" s="205"/>
      <c r="BL247" s="205"/>
      <c r="BM247" s="205"/>
      <c r="BN247" s="205"/>
      <c r="BO247" s="996"/>
      <c r="BP247" s="996"/>
      <c r="BQ247" s="996"/>
      <c r="BR247" s="996"/>
      <c r="BS247" s="265"/>
    </row>
    <row r="248" spans="1:71" s="45" customFormat="1" ht="15" hidden="1" outlineLevel="1">
      <c r="A248" s="197" t="s">
        <v>405</v>
      </c>
      <c r="B248" s="470"/>
      <c r="C248" s="1008">
        <f t="shared" si="579" ref="C248:AM248">SUM(C245:C247)</f>
        <v>642</v>
      </c>
      <c r="D248" s="1008">
        <f t="shared" si="579"/>
        <v>620</v>
      </c>
      <c r="E248" s="1008">
        <f t="shared" si="579"/>
        <v>647</v>
      </c>
      <c r="F248" s="1008">
        <f t="shared" si="579"/>
        <v>642</v>
      </c>
      <c r="G248" s="1008">
        <f t="shared" si="579"/>
        <v>573</v>
      </c>
      <c r="H248" s="185">
        <f t="shared" si="579"/>
        <v>154</v>
      </c>
      <c r="I248" s="185">
        <f t="shared" si="579"/>
        <v>192</v>
      </c>
      <c r="J248" s="185">
        <f t="shared" si="579"/>
        <v>165</v>
      </c>
      <c r="K248" s="185">
        <f t="shared" si="579"/>
        <v>216</v>
      </c>
      <c r="L248" s="1008">
        <f t="shared" si="579"/>
        <v>727</v>
      </c>
      <c r="M248" s="185">
        <f t="shared" si="579"/>
        <v>124</v>
      </c>
      <c r="N248" s="185">
        <f t="shared" si="579"/>
        <v>151</v>
      </c>
      <c r="O248" s="185">
        <f t="shared" si="579"/>
        <v>196</v>
      </c>
      <c r="P248" s="185">
        <f t="shared" si="579"/>
        <v>162</v>
      </c>
      <c r="Q248" s="1008">
        <f t="shared" si="579"/>
        <v>633</v>
      </c>
      <c r="R248" s="185">
        <f t="shared" si="579"/>
        <v>160</v>
      </c>
      <c r="S248" s="185">
        <f t="shared" si="579"/>
        <v>215</v>
      </c>
      <c r="T248" s="185">
        <f t="shared" si="579"/>
        <v>165</v>
      </c>
      <c r="U248" s="185">
        <f t="shared" si="579"/>
        <v>172</v>
      </c>
      <c r="V248" s="1008">
        <f t="shared" si="579"/>
        <v>712</v>
      </c>
      <c r="W248" s="185">
        <f t="shared" si="579"/>
        <v>145</v>
      </c>
      <c r="X248" s="185">
        <f t="shared" si="579"/>
        <v>163</v>
      </c>
      <c r="Y248" s="185">
        <f t="shared" si="579"/>
        <v>136</v>
      </c>
      <c r="Z248" s="185">
        <f t="shared" si="579"/>
        <v>112</v>
      </c>
      <c r="AA248" s="1008">
        <f t="shared" si="579"/>
        <v>556</v>
      </c>
      <c r="AB248" s="185">
        <f t="shared" si="579"/>
        <v>173</v>
      </c>
      <c r="AC248" s="185">
        <f t="shared" si="579"/>
        <v>204</v>
      </c>
      <c r="AD248" s="185">
        <f t="shared" si="579"/>
        <v>196</v>
      </c>
      <c r="AE248" s="185">
        <f t="shared" si="579"/>
        <v>220</v>
      </c>
      <c r="AF248" s="1008">
        <f t="shared" si="579"/>
        <v>793</v>
      </c>
      <c r="AG248" s="185">
        <f t="shared" si="579"/>
        <v>138</v>
      </c>
      <c r="AH248" s="185">
        <f t="shared" si="579"/>
        <v>174</v>
      </c>
      <c r="AI248" s="185">
        <f t="shared" si="579"/>
        <v>139</v>
      </c>
      <c r="AJ248" s="185">
        <f t="shared" si="579"/>
        <v>167</v>
      </c>
      <c r="AK248" s="1008">
        <f t="shared" si="579"/>
        <v>618</v>
      </c>
      <c r="AL248" s="185">
        <f t="shared" si="579"/>
        <v>122</v>
      </c>
      <c r="AM248" s="185">
        <f t="shared" si="579"/>
        <v>72</v>
      </c>
      <c r="AN248" s="185">
        <f>SUM(AN245:AN247)</f>
        <v>115</v>
      </c>
      <c r="AO248" s="185">
        <f t="shared" si="580" ref="AO248:AQ248">SUM(AO245:AO247)</f>
        <v>164</v>
      </c>
      <c r="AP248" s="1008">
        <f t="shared" si="580"/>
        <v>473</v>
      </c>
      <c r="AQ248" s="185">
        <f t="shared" si="580"/>
        <v>137</v>
      </c>
      <c r="AR248" s="185">
        <f t="shared" si="581" ref="AR248:AW248">SUM(AR245:AR247)</f>
        <v>187</v>
      </c>
      <c r="AS248" s="185">
        <f t="shared" si="581"/>
        <v>174</v>
      </c>
      <c r="AT248" s="185">
        <f t="shared" si="581"/>
        <v>170</v>
      </c>
      <c r="AU248" s="1008">
        <f t="shared" si="581"/>
        <v>668</v>
      </c>
      <c r="AV248" s="185">
        <f t="shared" si="581"/>
        <v>217</v>
      </c>
      <c r="AW248" s="185">
        <f t="shared" si="581"/>
        <v>228</v>
      </c>
      <c r="AX248" s="185">
        <f t="shared" si="582" ref="AX248:BC248">SUM(AX245:AX247)</f>
        <v>242</v>
      </c>
      <c r="AY248" s="185">
        <f t="shared" si="582"/>
        <v>221</v>
      </c>
      <c r="AZ248" s="1008">
        <f t="shared" si="582"/>
        <v>908</v>
      </c>
      <c r="BA248" s="185">
        <f t="shared" si="582"/>
        <v>207</v>
      </c>
      <c r="BB248" s="185">
        <f t="shared" si="582"/>
        <v>230</v>
      </c>
      <c r="BC248" s="185">
        <f t="shared" si="582"/>
        <v>265</v>
      </c>
      <c r="BD248" s="185">
        <f>SUM(BD245:BD247)</f>
        <v>240</v>
      </c>
      <c r="BE248" s="1008">
        <f>SUM(BE245:BE247)</f>
        <v>942</v>
      </c>
      <c r="BF248" s="185">
        <f>SUM(BF245:BF247)</f>
        <v>195</v>
      </c>
      <c r="BG248" s="185">
        <f>SUM(BG245:BG247)</f>
        <v>170</v>
      </c>
      <c r="BH248" s="749">
        <f>SUM(BH245:BH247)</f>
        <v>222</v>
      </c>
      <c r="BI248" s="199"/>
      <c r="BJ248" s="1009"/>
      <c r="BK248" s="199"/>
      <c r="BL248" s="199"/>
      <c r="BM248" s="199"/>
      <c r="BN248" s="199"/>
      <c r="BO248" s="1009"/>
      <c r="BP248" s="1009"/>
      <c r="BQ248" s="1009"/>
      <c r="BR248" s="1009"/>
      <c r="BS248" s="185"/>
    </row>
    <row r="249" spans="1:71" s="24" customFormat="1" ht="15" hidden="1" outlineLevel="1">
      <c r="A249" s="449"/>
      <c r="B249" s="445"/>
      <c r="C249" s="1011"/>
      <c r="D249" s="1011"/>
      <c r="E249" s="1011"/>
      <c r="F249" s="1011"/>
      <c r="G249" s="1011"/>
      <c r="H249" s="857"/>
      <c r="I249" s="857"/>
      <c r="J249" s="857"/>
      <c r="K249" s="857"/>
      <c r="L249" s="1011"/>
      <c r="M249" s="857"/>
      <c r="N249" s="857"/>
      <c r="O249" s="857"/>
      <c r="P249" s="857"/>
      <c r="Q249" s="1011"/>
      <c r="R249" s="857"/>
      <c r="S249" s="857"/>
      <c r="T249" s="857"/>
      <c r="U249" s="857"/>
      <c r="V249" s="1011"/>
      <c r="W249" s="857"/>
      <c r="X249" s="857"/>
      <c r="Y249" s="857"/>
      <c r="Z249" s="857"/>
      <c r="AA249" s="1011"/>
      <c r="AB249" s="857"/>
      <c r="AC249" s="857"/>
      <c r="AD249" s="857"/>
      <c r="AE249" s="857"/>
      <c r="AF249" s="1011"/>
      <c r="AG249" s="857"/>
      <c r="AH249" s="857"/>
      <c r="AI249" s="857"/>
      <c r="AJ249" s="857"/>
      <c r="AK249" s="1011"/>
      <c r="AL249" s="857"/>
      <c r="AM249" s="857"/>
      <c r="AN249" s="857"/>
      <c r="AO249" s="857"/>
      <c r="AP249" s="1011"/>
      <c r="AQ249" s="857"/>
      <c r="AR249" s="857"/>
      <c r="AS249" s="857"/>
      <c r="AT249" s="857"/>
      <c r="AU249" s="1011"/>
      <c r="AV249" s="857"/>
      <c r="AW249" s="857"/>
      <c r="AX249" s="857"/>
      <c r="AY249" s="857"/>
      <c r="AZ249" s="1011"/>
      <c r="BA249" s="857"/>
      <c r="BB249" s="857"/>
      <c r="BC249" s="857"/>
      <c r="BD249" s="857"/>
      <c r="BE249" s="1011"/>
      <c r="BF249" s="857"/>
      <c r="BG249" s="857"/>
      <c r="BH249" s="858"/>
      <c r="BI249" s="857"/>
      <c r="BJ249" s="1011"/>
      <c r="BK249" s="857"/>
      <c r="BL249" s="857"/>
      <c r="BM249" s="857"/>
      <c r="BN249" s="857"/>
      <c r="BO249" s="1011"/>
      <c r="BP249" s="1011"/>
      <c r="BQ249" s="1011"/>
      <c r="BR249" s="1011"/>
      <c r="BS249" s="833"/>
    </row>
    <row r="250" spans="1:71" s="27" customFormat="1" ht="15" hidden="1" outlineLevel="1">
      <c r="A250" s="41" t="s">
        <v>409</v>
      </c>
      <c r="B250" s="434"/>
      <c r="C250" s="984">
        <v>0.52100000000000002</v>
      </c>
      <c r="D250" s="984">
        <v>0.50900000000000001</v>
      </c>
      <c r="E250" s="984">
        <v>0.46400000000000002</v>
      </c>
      <c r="F250" s="984">
        <v>0.42799999999999999</v>
      </c>
      <c r="G250" s="984">
        <v>0.34699999999999998</v>
      </c>
      <c r="H250" s="907">
        <v>0.31</v>
      </c>
      <c r="I250" s="907">
        <v>0.205</v>
      </c>
      <c r="J250" s="907">
        <v>0.28699999999999998</v>
      </c>
      <c r="K250" s="907">
        <v>0.111</v>
      </c>
      <c r="L250" s="984">
        <v>0.22800000000000001</v>
      </c>
      <c r="M250" s="907">
        <v>0.376</v>
      </c>
      <c r="N250" s="907">
        <v>0.36299999999999999</v>
      </c>
      <c r="O250" s="907">
        <v>0.20599999999999999</v>
      </c>
      <c r="P250" s="907">
        <v>0.27600000000000002</v>
      </c>
      <c r="Q250" s="984">
        <v>0.30399999999999999</v>
      </c>
      <c r="R250" s="907">
        <v>0.32100000000000001</v>
      </c>
      <c r="S250" s="907">
        <v>0.16200000000000001</v>
      </c>
      <c r="T250" s="907">
        <v>0.32</v>
      </c>
      <c r="U250" s="907">
        <v>0.29099999999999998</v>
      </c>
      <c r="V250" s="984">
        <v>0.27400000000000002</v>
      </c>
      <c r="W250" s="907">
        <v>0.40600000000000003</v>
      </c>
      <c r="X250" s="907">
        <v>0.29699999999999999</v>
      </c>
      <c r="Y250" s="907">
        <v>0.395</v>
      </c>
      <c r="Z250" s="907">
        <v>0.44600000000000001</v>
      </c>
      <c r="AA250" s="984">
        <v>0.38600000000000001</v>
      </c>
      <c r="AB250" s="907">
        <v>0.36599999999999999</v>
      </c>
      <c r="AC250" s="907">
        <v>0.28799999999999998</v>
      </c>
      <c r="AD250" s="907">
        <v>0.33100000000000002</v>
      </c>
      <c r="AE250" s="907">
        <v>0.27900000000000003</v>
      </c>
      <c r="AF250" s="984">
        <v>0.315</v>
      </c>
      <c r="AG250" s="907">
        <v>0.435</v>
      </c>
      <c r="AH250" s="907">
        <v>0.374</v>
      </c>
      <c r="AI250" s="907">
        <v>0.45700000000000002</v>
      </c>
      <c r="AJ250" s="907">
        <v>0.42399999999999999</v>
      </c>
      <c r="AK250" s="984">
        <v>0.42199999999999999</v>
      </c>
      <c r="AL250" s="907">
        <v>0.48799999999999999</v>
      </c>
      <c r="AM250" s="907">
        <v>0.57799999999999996</v>
      </c>
      <c r="AN250" s="907">
        <v>0.54000000000000004</v>
      </c>
      <c r="AO250" s="907">
        <v>0.45700000000000002</v>
      </c>
      <c r="AP250" s="984">
        <v>0.515</v>
      </c>
      <c r="AQ250" s="907">
        <v>0.499</v>
      </c>
      <c r="AR250" s="907">
        <v>0.42599999999999999</v>
      </c>
      <c r="AS250" s="907">
        <v>0.46300000000000002</v>
      </c>
      <c r="AT250" s="907">
        <v>0.47399999999999998</v>
      </c>
      <c r="AU250" s="984">
        <v>0.46600000000000003</v>
      </c>
      <c r="AV250" s="907">
        <v>0.42799999999999999</v>
      </c>
      <c r="AW250" s="907">
        <v>0.385</v>
      </c>
      <c r="AX250" s="907">
        <v>0.373</v>
      </c>
      <c r="AY250" s="907">
        <v>0.41299999999999998</v>
      </c>
      <c r="AZ250" s="984">
        <v>0.39900000000000002</v>
      </c>
      <c r="BA250" s="907">
        <v>0.43</v>
      </c>
      <c r="BB250" s="907">
        <v>0.39800000000000002</v>
      </c>
      <c r="BC250" s="907">
        <v>0.36899999999999999</v>
      </c>
      <c r="BD250" s="907">
        <v>0.41099999999999998</v>
      </c>
      <c r="BE250" s="984">
        <v>0.40100000000000002</v>
      </c>
      <c r="BF250" s="907">
        <v>0.44400000000000001</v>
      </c>
      <c r="BG250" s="907">
        <v>0.48</v>
      </c>
      <c r="BH250" s="929">
        <v>0.434</v>
      </c>
      <c r="BI250" s="435"/>
      <c r="BJ250" s="982"/>
      <c r="BK250" s="435"/>
      <c r="BL250" s="435"/>
      <c r="BM250" s="435"/>
      <c r="BN250" s="435"/>
      <c r="BO250" s="982"/>
      <c r="BP250" s="982"/>
      <c r="BQ250" s="982"/>
      <c r="BR250" s="982"/>
      <c r="BS250" s="71"/>
    </row>
    <row r="251" spans="1:71" s="27" customFormat="1" ht="15" hidden="1" outlineLevel="1">
      <c r="A251" s="328" t="s">
        <v>410</v>
      </c>
      <c r="B251" s="436"/>
      <c r="C251" s="987">
        <v>0.36</v>
      </c>
      <c r="D251" s="987">
        <v>0.36799999999999999</v>
      </c>
      <c r="E251" s="987">
        <v>0.39400000000000002</v>
      </c>
      <c r="F251" s="987">
        <v>0.41299999999999998</v>
      </c>
      <c r="G251" s="987">
        <v>0.38700000000000001</v>
      </c>
      <c r="H251" s="909">
        <v>0.376</v>
      </c>
      <c r="I251" s="909">
        <v>0.379</v>
      </c>
      <c r="J251" s="909">
        <v>0.38200000000000001</v>
      </c>
      <c r="K251" s="909">
        <v>0.38600000000000001</v>
      </c>
      <c r="L251" s="987">
        <v>0.38</v>
      </c>
      <c r="M251" s="909">
        <v>0.385</v>
      </c>
      <c r="N251" s="909">
        <v>0.374</v>
      </c>
      <c r="O251" s="909">
        <v>0.365</v>
      </c>
      <c r="P251" s="909">
        <v>0.375</v>
      </c>
      <c r="Q251" s="987">
        <v>0.375</v>
      </c>
      <c r="R251" s="909">
        <v>0.377</v>
      </c>
      <c r="S251" s="909">
        <v>0.38300000000000001</v>
      </c>
      <c r="T251" s="909">
        <v>0.38600000000000001</v>
      </c>
      <c r="U251" s="909">
        <v>0.38700000000000001</v>
      </c>
      <c r="V251" s="987">
        <v>0.38300000000000001</v>
      </c>
      <c r="W251" s="909">
        <v>0.38800000000000001</v>
      </c>
      <c r="X251" s="909">
        <v>0.39</v>
      </c>
      <c r="Y251" s="909">
        <v>0.38200000000000001</v>
      </c>
      <c r="Z251" s="909">
        <v>0.39100000000000001</v>
      </c>
      <c r="AA251" s="987">
        <v>0.38800000000000001</v>
      </c>
      <c r="AB251" s="909">
        <v>0.38100000000000001</v>
      </c>
      <c r="AC251" s="909">
        <v>0.377</v>
      </c>
      <c r="AD251" s="909">
        <v>0.371</v>
      </c>
      <c r="AE251" s="909">
        <v>0.36899999999999999</v>
      </c>
      <c r="AF251" s="987">
        <v>0.375</v>
      </c>
      <c r="AG251" s="909">
        <v>0.376</v>
      </c>
      <c r="AH251" s="909">
        <v>0.375</v>
      </c>
      <c r="AI251" s="909">
        <v>0.376</v>
      </c>
      <c r="AJ251" s="909">
        <v>0.36199999999999999</v>
      </c>
      <c r="AK251" s="987">
        <v>0.373</v>
      </c>
      <c r="AL251" s="909">
        <v>0.371</v>
      </c>
      <c r="AM251" s="909">
        <v>0.36</v>
      </c>
      <c r="AN251" s="909">
        <v>0.35299999999999998</v>
      </c>
      <c r="AO251" s="909">
        <v>0.35199999999999998</v>
      </c>
      <c r="AP251" s="987">
        <v>0.35899999999999999</v>
      </c>
      <c r="AQ251" s="909">
        <v>0.35299999999999998</v>
      </c>
      <c r="AR251" s="909">
        <v>0.355</v>
      </c>
      <c r="AS251" s="909">
        <v>0.34799999999999998</v>
      </c>
      <c r="AT251" s="909">
        <v>0.34100000000000003</v>
      </c>
      <c r="AU251" s="987">
        <v>0.34899999999999998</v>
      </c>
      <c r="AV251" s="909">
        <v>0.35199999999999998</v>
      </c>
      <c r="AW251" s="909">
        <v>0.355</v>
      </c>
      <c r="AX251" s="909">
        <v>0.35199999999999998</v>
      </c>
      <c r="AY251" s="909">
        <v>0.35599999999999998</v>
      </c>
      <c r="AZ251" s="987">
        <v>0.35399999999999998</v>
      </c>
      <c r="BA251" s="909">
        <v>0.37</v>
      </c>
      <c r="BB251" s="909">
        <v>0.373</v>
      </c>
      <c r="BC251" s="909">
        <v>0.36699999999999999</v>
      </c>
      <c r="BD251" s="909">
        <v>0.36199999999999999</v>
      </c>
      <c r="BE251" s="987">
        <v>0.36799999999999999</v>
      </c>
      <c r="BF251" s="909">
        <v>0.40100000000000002</v>
      </c>
      <c r="BG251" s="909">
        <v>0.39700000000000002</v>
      </c>
      <c r="BH251" s="930">
        <v>0.39100000000000001</v>
      </c>
      <c r="BI251" s="437"/>
      <c r="BJ251" s="985"/>
      <c r="BK251" s="437"/>
      <c r="BL251" s="437"/>
      <c r="BM251" s="437"/>
      <c r="BN251" s="437"/>
      <c r="BO251" s="985"/>
      <c r="BP251" s="985"/>
      <c r="BQ251" s="985"/>
      <c r="BR251" s="985"/>
      <c r="BS251" s="71"/>
    </row>
    <row r="252" spans="1:71" s="28" customFormat="1" ht="15" hidden="1" outlineLevel="1">
      <c r="A252" s="40" t="s">
        <v>411</v>
      </c>
      <c r="B252" s="467"/>
      <c r="C252" s="1021">
        <f t="shared" si="583" ref="C252:AM252">SUM(C250:C251)</f>
        <v>0.88100000000000001</v>
      </c>
      <c r="D252" s="1021">
        <f t="shared" si="583"/>
        <v>0.877</v>
      </c>
      <c r="E252" s="1021">
        <f t="shared" si="583"/>
        <v>0.8580000000000001</v>
      </c>
      <c r="F252" s="1021">
        <f t="shared" si="583"/>
        <v>0.84099999999999997</v>
      </c>
      <c r="G252" s="1021">
        <f t="shared" si="583"/>
        <v>0.73399999999999999</v>
      </c>
      <c r="H252" s="43">
        <f t="shared" si="583"/>
        <v>0.68599999999999994</v>
      </c>
      <c r="I252" s="43">
        <f t="shared" si="583"/>
        <v>0.58399999999999996</v>
      </c>
      <c r="J252" s="43">
        <f t="shared" si="583"/>
        <v>0.66900000000000004</v>
      </c>
      <c r="K252" s="43">
        <f t="shared" si="583"/>
        <v>0.497</v>
      </c>
      <c r="L252" s="1021">
        <f t="shared" si="583"/>
        <v>0.60799999999999998</v>
      </c>
      <c r="M252" s="43">
        <f t="shared" si="583"/>
        <v>0.76100000000000001</v>
      </c>
      <c r="N252" s="43">
        <f t="shared" si="583"/>
        <v>0.73699999999999999</v>
      </c>
      <c r="O252" s="43">
        <f t="shared" si="583"/>
        <v>0.57099999999999995</v>
      </c>
      <c r="P252" s="43">
        <f t="shared" si="583"/>
        <v>0.65100000000000002</v>
      </c>
      <c r="Q252" s="1021">
        <f t="shared" si="583"/>
        <v>0.67900000000000005</v>
      </c>
      <c r="R252" s="43">
        <f t="shared" si="583"/>
        <v>0.69799999999999995</v>
      </c>
      <c r="S252" s="43">
        <f t="shared" si="583"/>
        <v>0.54500000000000004</v>
      </c>
      <c r="T252" s="43">
        <f t="shared" si="583"/>
        <v>0.70599999999999996</v>
      </c>
      <c r="U252" s="43">
        <f t="shared" si="583"/>
        <v>0.67799999999999994</v>
      </c>
      <c r="V252" s="1021">
        <f t="shared" si="583"/>
        <v>0.65700000000000003</v>
      </c>
      <c r="W252" s="43">
        <f t="shared" si="583"/>
        <v>0.79400000000000004</v>
      </c>
      <c r="X252" s="43">
        <f t="shared" si="583"/>
        <v>0.68700000000000006</v>
      </c>
      <c r="Y252" s="43">
        <f t="shared" si="583"/>
        <v>0.77700000000000002</v>
      </c>
      <c r="Z252" s="43">
        <f t="shared" si="583"/>
        <v>0.83699999999999997</v>
      </c>
      <c r="AA252" s="1021">
        <f t="shared" si="583"/>
        <v>0.77400000000000002</v>
      </c>
      <c r="AB252" s="43">
        <f t="shared" si="583"/>
        <v>0.747</v>
      </c>
      <c r="AC252" s="43">
        <f t="shared" si="583"/>
        <v>0.665</v>
      </c>
      <c r="AD252" s="43">
        <f t="shared" si="583"/>
        <v>0.70199999999999996</v>
      </c>
      <c r="AE252" s="43">
        <f t="shared" si="583"/>
        <v>0.64800000000000002</v>
      </c>
      <c r="AF252" s="1021">
        <f t="shared" si="583"/>
        <v>0.69</v>
      </c>
      <c r="AG252" s="43">
        <f t="shared" si="583"/>
        <v>0.81099999999999994</v>
      </c>
      <c r="AH252" s="43">
        <f t="shared" si="583"/>
        <v>0.749</v>
      </c>
      <c r="AI252" s="43">
        <f t="shared" si="583"/>
        <v>0.83299999999999996</v>
      </c>
      <c r="AJ252" s="43">
        <f t="shared" si="583"/>
        <v>0.78600000000000003</v>
      </c>
      <c r="AK252" s="1021">
        <f t="shared" si="583"/>
        <v>0.795</v>
      </c>
      <c r="AL252" s="43">
        <f t="shared" si="583"/>
        <v>0.85899999999999999</v>
      </c>
      <c r="AM252" s="43">
        <f t="shared" si="583"/>
        <v>0.93799999999999994</v>
      </c>
      <c r="AN252" s="43">
        <f>SUM(AN250:AN251)</f>
        <v>0.89300000000000002</v>
      </c>
      <c r="AO252" s="43">
        <f t="shared" si="584" ref="AO252:AQ252">SUM(AO250:AO251)</f>
        <v>0.80899999999999994</v>
      </c>
      <c r="AP252" s="1021">
        <f t="shared" si="584"/>
        <v>0.874</v>
      </c>
      <c r="AQ252" s="43">
        <f t="shared" si="584"/>
        <v>0.85199999999999998</v>
      </c>
      <c r="AR252" s="43">
        <f t="shared" si="585" ref="AR252:AW252">SUM(AR250:AR251)</f>
        <v>0.78099999999999992</v>
      </c>
      <c r="AS252" s="43">
        <f t="shared" si="585"/>
        <v>0.81099999999999994</v>
      </c>
      <c r="AT252" s="43">
        <f t="shared" si="585"/>
        <v>0.815</v>
      </c>
      <c r="AU252" s="1021">
        <f t="shared" si="585"/>
        <v>0.815</v>
      </c>
      <c r="AV252" s="43">
        <f t="shared" si="585"/>
        <v>0.78</v>
      </c>
      <c r="AW252" s="43">
        <f t="shared" si="585"/>
        <v>0.74</v>
      </c>
      <c r="AX252" s="43">
        <f t="shared" si="586" ref="AX252:BC252">SUM(AX250:AX251)</f>
        <v>0.725</v>
      </c>
      <c r="AY252" s="43">
        <f t="shared" si="586"/>
        <v>0.76899999999999991</v>
      </c>
      <c r="AZ252" s="1021">
        <f t="shared" si="586"/>
        <v>0.753</v>
      </c>
      <c r="BA252" s="43">
        <f t="shared" si="586"/>
        <v>0.80</v>
      </c>
      <c r="BB252" s="43">
        <f t="shared" si="586"/>
        <v>0.77100000000000002</v>
      </c>
      <c r="BC252" s="43">
        <f t="shared" si="586"/>
        <v>0.73599999999999999</v>
      </c>
      <c r="BD252" s="43">
        <f>SUM(BD250:BD251)</f>
        <v>0.77299999999999991</v>
      </c>
      <c r="BE252" s="1021">
        <f>SUM(BE250:BE251)</f>
        <v>0.76900000000000002</v>
      </c>
      <c r="BF252" s="43">
        <f>SUM(BF250:BF251)</f>
        <v>0.845</v>
      </c>
      <c r="BG252" s="43">
        <f>SUM(BG250:BG251)</f>
        <v>0.877</v>
      </c>
      <c r="BH252" s="758">
        <f>SUM(BH250:BH251)</f>
        <v>0.825</v>
      </c>
      <c r="BI252" s="460"/>
      <c r="BJ252" s="1018"/>
      <c r="BK252" s="460"/>
      <c r="BL252" s="460"/>
      <c r="BM252" s="460"/>
      <c r="BN252" s="460"/>
      <c r="BO252" s="1018"/>
      <c r="BP252" s="1018"/>
      <c r="BQ252" s="1018"/>
      <c r="BR252" s="1018"/>
      <c r="BS252" s="43"/>
    </row>
    <row r="253" spans="1:71" s="24" customFormat="1" ht="15" hidden="1" outlineLevel="1">
      <c r="A253" s="449"/>
      <c r="B253" s="445"/>
      <c r="C253" s="1011"/>
      <c r="D253" s="1011"/>
      <c r="E253" s="1011"/>
      <c r="F253" s="1011"/>
      <c r="G253" s="1011"/>
      <c r="H253" s="857"/>
      <c r="I253" s="857"/>
      <c r="J253" s="857"/>
      <c r="K253" s="857"/>
      <c r="L253" s="1011"/>
      <c r="M253" s="857"/>
      <c r="N253" s="857"/>
      <c r="O253" s="857"/>
      <c r="P253" s="857"/>
      <c r="Q253" s="1011"/>
      <c r="R253" s="857"/>
      <c r="S253" s="857"/>
      <c r="T253" s="857"/>
      <c r="U253" s="857"/>
      <c r="V253" s="1011"/>
      <c r="W253" s="857"/>
      <c r="X253" s="857"/>
      <c r="Y253" s="857"/>
      <c r="Z253" s="857"/>
      <c r="AA253" s="1011"/>
      <c r="AB253" s="857"/>
      <c r="AC253" s="857"/>
      <c r="AD253" s="857"/>
      <c r="AE253" s="857"/>
      <c r="AF253" s="1011"/>
      <c r="AG253" s="857"/>
      <c r="AH253" s="857"/>
      <c r="AI253" s="857"/>
      <c r="AJ253" s="857"/>
      <c r="AK253" s="1011"/>
      <c r="AL253" s="857"/>
      <c r="AM253" s="857"/>
      <c r="AN253" s="857"/>
      <c r="AO253" s="857"/>
      <c r="AP253" s="1011"/>
      <c r="AQ253" s="857"/>
      <c r="AR253" s="857"/>
      <c r="AS253" s="857"/>
      <c r="AT253" s="857"/>
      <c r="AU253" s="1011"/>
      <c r="AV253" s="857"/>
      <c r="AW253" s="857"/>
      <c r="AX253" s="857"/>
      <c r="AY253" s="857"/>
      <c r="AZ253" s="1011"/>
      <c r="BA253" s="857"/>
      <c r="BB253" s="857"/>
      <c r="BC253" s="857"/>
      <c r="BD253" s="857"/>
      <c r="BE253" s="1011"/>
      <c r="BF253" s="857"/>
      <c r="BG253" s="857"/>
      <c r="BH253" s="858"/>
      <c r="BI253" s="857"/>
      <c r="BJ253" s="1011"/>
      <c r="BK253" s="857"/>
      <c r="BL253" s="857"/>
      <c r="BM253" s="857"/>
      <c r="BN253" s="857"/>
      <c r="BO253" s="1011"/>
      <c r="BP253" s="1011"/>
      <c r="BQ253" s="1011"/>
      <c r="BR253" s="1011"/>
      <c r="BS253" s="833"/>
    </row>
    <row r="254" spans="1:71" s="27" customFormat="1" ht="15" hidden="1" outlineLevel="1">
      <c r="A254" s="41" t="s">
        <v>412</v>
      </c>
      <c r="B254" s="434"/>
      <c r="C254" s="984">
        <v>-0.050999999999999997</v>
      </c>
      <c r="D254" s="984">
        <v>-0.078</v>
      </c>
      <c r="E254" s="984">
        <v>-0.113</v>
      </c>
      <c r="F254" s="984">
        <v>-0.098000000000000004</v>
      </c>
      <c r="G254" s="984">
        <v>-0.11700000000000001</v>
      </c>
      <c r="H254" s="907">
        <v>-0.13200000000000001</v>
      </c>
      <c r="I254" s="907">
        <v>-0.23699999999999999</v>
      </c>
      <c r="J254" s="907">
        <v>-0.14999999999999999</v>
      </c>
      <c r="K254" s="907">
        <v>-0.34399999999999997</v>
      </c>
      <c r="L254" s="984">
        <v>-0.217</v>
      </c>
      <c r="M254" s="907">
        <v>-0.069000000000000006</v>
      </c>
      <c r="N254" s="907">
        <v>-0.076999999999999999</v>
      </c>
      <c r="O254" s="907">
        <v>-0.191</v>
      </c>
      <c r="P254" s="907">
        <v>-0.156</v>
      </c>
      <c r="Q254" s="984">
        <v>-0.124</v>
      </c>
      <c r="R254" s="907">
        <v>-0.12</v>
      </c>
      <c r="S254" s="907">
        <v>-0.28399999999999997</v>
      </c>
      <c r="T254" s="907">
        <v>-0.081000000000000003</v>
      </c>
      <c r="U254" s="907">
        <v>-0.13700000000000001</v>
      </c>
      <c r="V254" s="984">
        <v>-0.155</v>
      </c>
      <c r="W254" s="907">
        <v>-0.025999999999999999</v>
      </c>
      <c r="X254" s="907">
        <v>-0.13500000000000001</v>
      </c>
      <c r="Y254" s="907">
        <v>-0.0089999999999999993</v>
      </c>
      <c r="Z254" s="907">
        <v>-0.071999999999999995</v>
      </c>
      <c r="AA254" s="984">
        <v>-0.060999999999999999</v>
      </c>
      <c r="AB254" s="907">
        <v>-0.06</v>
      </c>
      <c r="AC254" s="907">
        <v>-0.14799999999999999</v>
      </c>
      <c r="AD254" s="907">
        <v>-0.086999999999999994</v>
      </c>
      <c r="AE254" s="907">
        <v>-0.14399999999999999</v>
      </c>
      <c r="AF254" s="984">
        <v>-0.11</v>
      </c>
      <c r="AG254" s="907">
        <v>-0.005</v>
      </c>
      <c r="AH254" s="907">
        <v>-0.062</v>
      </c>
      <c r="AI254" s="907">
        <v>-0.005</v>
      </c>
      <c r="AJ254" s="907">
        <v>-0.029000000000000001</v>
      </c>
      <c r="AK254" s="984">
        <v>-0.025</v>
      </c>
      <c r="AL254" s="907">
        <v>0</v>
      </c>
      <c r="AM254" s="907">
        <v>0.047</v>
      </c>
      <c r="AN254" s="907">
        <v>0</v>
      </c>
      <c r="AO254" s="907">
        <v>-0.042000000000000003</v>
      </c>
      <c r="AP254" s="984">
        <v>0</v>
      </c>
      <c r="AQ254" s="907">
        <v>-0.021000000000000001</v>
      </c>
      <c r="AR254" s="907">
        <v>-0.057000000000000002</v>
      </c>
      <c r="AS254" s="907">
        <v>-0.025999999999999999</v>
      </c>
      <c r="AT254" s="907">
        <v>-0.03</v>
      </c>
      <c r="AU254" s="984">
        <v>-0.033000000000000002</v>
      </c>
      <c r="AV254" s="907">
        <v>-0.042999999999999997</v>
      </c>
      <c r="AW254" s="907">
        <v>-0.085999999999999993</v>
      </c>
      <c r="AX254" s="907">
        <v>-0.071999999999999995</v>
      </c>
      <c r="AY254" s="907">
        <v>-0.058000000000000003</v>
      </c>
      <c r="AZ254" s="984">
        <v>-0.065</v>
      </c>
      <c r="BA254" s="907">
        <v>-0.067000000000000004</v>
      </c>
      <c r="BB254" s="907">
        <v>-0.13</v>
      </c>
      <c r="BC254" s="907">
        <v>-0.076999999999999999</v>
      </c>
      <c r="BD254" s="907">
        <v>-0.039</v>
      </c>
      <c r="BE254" s="984">
        <v>-0.078</v>
      </c>
      <c r="BF254" s="907">
        <v>-0.025</v>
      </c>
      <c r="BG254" s="907">
        <v>-0.025</v>
      </c>
      <c r="BH254" s="929">
        <v>-0.035000000000000003</v>
      </c>
      <c r="BI254" s="435"/>
      <c r="BJ254" s="982"/>
      <c r="BK254" s="435"/>
      <c r="BL254" s="435"/>
      <c r="BM254" s="435"/>
      <c r="BN254" s="435"/>
      <c r="BO254" s="982"/>
      <c r="BP254" s="982"/>
      <c r="BQ254" s="982"/>
      <c r="BR254" s="982"/>
      <c r="BS254" s="71"/>
    </row>
    <row r="255" spans="1:71" s="27" customFormat="1" ht="15" hidden="1" outlineLevel="1">
      <c r="A255" s="328" t="s">
        <v>413</v>
      </c>
      <c r="B255" s="436"/>
      <c r="C255" s="987">
        <v>0.001</v>
      </c>
      <c r="D255" s="987">
        <v>0.024</v>
      </c>
      <c r="E255" s="987">
        <v>0.017000000000000001</v>
      </c>
      <c r="F255" s="987">
        <v>0.017000000000000001</v>
      </c>
      <c r="G255" s="987">
        <v>0.0040000000000000001</v>
      </c>
      <c r="H255" s="909">
        <v>0.002</v>
      </c>
      <c r="I255" s="909">
        <v>0.0089999999999999993</v>
      </c>
      <c r="J255" s="909">
        <v>0.002</v>
      </c>
      <c r="K255" s="909">
        <v>0</v>
      </c>
      <c r="L255" s="987">
        <v>0.0030000000000000001</v>
      </c>
      <c r="M255" s="909">
        <v>0.001</v>
      </c>
      <c r="N255" s="909">
        <v>0.0030000000000000001</v>
      </c>
      <c r="O255" s="909">
        <v>0.001</v>
      </c>
      <c r="P255" s="909">
        <v>0</v>
      </c>
      <c r="Q255" s="987">
        <v>0.002</v>
      </c>
      <c r="R255" s="909">
        <v>0.001</v>
      </c>
      <c r="S255" s="909">
        <v>0.005</v>
      </c>
      <c r="T255" s="909">
        <v>0.002</v>
      </c>
      <c r="U255" s="909">
        <v>0.002</v>
      </c>
      <c r="V255" s="987">
        <v>0.0030000000000000001</v>
      </c>
      <c r="W255" s="909">
        <v>0.001</v>
      </c>
      <c r="X255" s="909">
        <v>0.002</v>
      </c>
      <c r="Y255" s="909">
        <v>0.0089999999999999993</v>
      </c>
      <c r="Z255" s="909">
        <v>-0.002</v>
      </c>
      <c r="AA255" s="987">
        <v>0.0030000000000000001</v>
      </c>
      <c r="AB255" s="909">
        <v>0</v>
      </c>
      <c r="AC255" s="909">
        <v>0.0080000000000000002</v>
      </c>
      <c r="AD255" s="909">
        <v>0.0060000000000000001</v>
      </c>
      <c r="AE255" s="909">
        <v>0.010999999999999999</v>
      </c>
      <c r="AF255" s="987">
        <v>0.0060000000000000001</v>
      </c>
      <c r="AG255" s="909">
        <v>0.005</v>
      </c>
      <c r="AH255" s="909">
        <v>0.001</v>
      </c>
      <c r="AI255" s="909">
        <v>0.002</v>
      </c>
      <c r="AJ255" s="909">
        <v>0.002</v>
      </c>
      <c r="AK255" s="987">
        <v>0.002</v>
      </c>
      <c r="AL255" s="909">
        <v>0.002</v>
      </c>
      <c r="AM255" s="909">
        <v>0.01</v>
      </c>
      <c r="AN255" s="909">
        <v>0.0030000000000000001</v>
      </c>
      <c r="AO255" s="909">
        <v>0.001</v>
      </c>
      <c r="AP255" s="987">
        <v>0.0040000000000000001</v>
      </c>
      <c r="AQ255" s="909">
        <v>0.031</v>
      </c>
      <c r="AR255" s="909">
        <v>0.0040000000000000001</v>
      </c>
      <c r="AS255" s="909">
        <v>0.0030000000000000001</v>
      </c>
      <c r="AT255" s="909">
        <v>0.012</v>
      </c>
      <c r="AU255" s="987">
        <v>0.012999999999999999</v>
      </c>
      <c r="AV255" s="909">
        <v>0.001</v>
      </c>
      <c r="AW255" s="909">
        <v>0.0040000000000000001</v>
      </c>
      <c r="AX255" s="909">
        <v>0.012999999999999999</v>
      </c>
      <c r="AY255" s="909">
        <v>0.01</v>
      </c>
      <c r="AZ255" s="987">
        <v>0.0070000000000000001</v>
      </c>
      <c r="BA255" s="909">
        <v>0.0060000000000000001</v>
      </c>
      <c r="BB255" s="909">
        <v>0.023</v>
      </c>
      <c r="BC255" s="909">
        <v>0.0060000000000000001</v>
      </c>
      <c r="BD255" s="909">
        <v>0.0060000000000000001</v>
      </c>
      <c r="BE255" s="987">
        <v>0.01</v>
      </c>
      <c r="BF255" s="909">
        <v>0.005</v>
      </c>
      <c r="BG255" s="909">
        <v>0.041000000000000002</v>
      </c>
      <c r="BH255" s="930">
        <v>0.0040000000000000001</v>
      </c>
      <c r="BI255" s="437"/>
      <c r="BJ255" s="985"/>
      <c r="BK255" s="437"/>
      <c r="BL255" s="437"/>
      <c r="BM255" s="437"/>
      <c r="BN255" s="437"/>
      <c r="BO255" s="985"/>
      <c r="BP255" s="985"/>
      <c r="BQ255" s="985"/>
      <c r="BR255" s="985"/>
      <c r="BS255" s="71"/>
    </row>
    <row r="256" spans="1:71" s="28" customFormat="1" ht="15" hidden="1" outlineLevel="1">
      <c r="A256" s="40" t="s">
        <v>414</v>
      </c>
      <c r="B256" s="467"/>
      <c r="C256" s="1021">
        <f t="shared" si="587" ref="C256:AM256">C252-C254-C255</f>
        <v>0.93100000000000005</v>
      </c>
      <c r="D256" s="1021">
        <f t="shared" si="587"/>
        <v>0.93099999999999994</v>
      </c>
      <c r="E256" s="1021">
        <f t="shared" si="587"/>
        <v>0.95400000000000007</v>
      </c>
      <c r="F256" s="1021">
        <f t="shared" si="587"/>
        <v>0.92199999999999993</v>
      </c>
      <c r="G256" s="1021">
        <f t="shared" si="587"/>
        <v>0.84699999999999998</v>
      </c>
      <c r="H256" s="43">
        <f t="shared" si="587"/>
        <v>0.81599999999999995</v>
      </c>
      <c r="I256" s="43">
        <f t="shared" si="587"/>
        <v>0.81199999999999994</v>
      </c>
      <c r="J256" s="43">
        <f t="shared" si="587"/>
        <v>0.81700000000000006</v>
      </c>
      <c r="K256" s="43">
        <f t="shared" si="587"/>
        <v>0.84099999999999997</v>
      </c>
      <c r="L256" s="1021">
        <f t="shared" si="587"/>
        <v>0.82199999999999995</v>
      </c>
      <c r="M256" s="43">
        <f t="shared" si="587"/>
        <v>0.82900000000000007</v>
      </c>
      <c r="N256" s="43">
        <f t="shared" si="587"/>
        <v>0.81099999999999994</v>
      </c>
      <c r="O256" s="43">
        <f t="shared" si="587"/>
        <v>0.76100000000000001</v>
      </c>
      <c r="P256" s="43">
        <f t="shared" si="587"/>
        <v>0.80700000000000005</v>
      </c>
      <c r="Q256" s="1021">
        <f t="shared" si="587"/>
        <v>0.80100000000000005</v>
      </c>
      <c r="R256" s="43">
        <f t="shared" si="587"/>
        <v>0.81699999999999995</v>
      </c>
      <c r="S256" s="43">
        <f t="shared" si="587"/>
        <v>0.82399999999999995</v>
      </c>
      <c r="T256" s="43">
        <f t="shared" si="587"/>
        <v>0.78499999999999992</v>
      </c>
      <c r="U256" s="43">
        <f t="shared" si="587"/>
        <v>0.81299999999999994</v>
      </c>
      <c r="V256" s="1021">
        <f t="shared" si="587"/>
        <v>0.80900000000000005</v>
      </c>
      <c r="W256" s="43">
        <f t="shared" si="587"/>
        <v>0.81900000000000006</v>
      </c>
      <c r="X256" s="43">
        <f t="shared" si="587"/>
        <v>0.82</v>
      </c>
      <c r="Y256" s="43">
        <f t="shared" si="587"/>
        <v>0.77700000000000002</v>
      </c>
      <c r="Z256" s="43">
        <f t="shared" si="587"/>
        <v>0.91099999999999992</v>
      </c>
      <c r="AA256" s="1021">
        <f t="shared" si="587"/>
        <v>0.83199999999999996</v>
      </c>
      <c r="AB256" s="43">
        <f t="shared" si="587"/>
        <v>0.80699999999999994</v>
      </c>
      <c r="AC256" s="43">
        <f t="shared" si="587"/>
        <v>0.805</v>
      </c>
      <c r="AD256" s="43">
        <f t="shared" si="587"/>
        <v>0.78299999999999992</v>
      </c>
      <c r="AE256" s="43">
        <f t="shared" si="587"/>
        <v>0.78100000000000003</v>
      </c>
      <c r="AF256" s="1021">
        <f t="shared" si="587"/>
        <v>0.79399999999999993</v>
      </c>
      <c r="AG256" s="43">
        <f t="shared" si="587"/>
        <v>0.81099999999999994</v>
      </c>
      <c r="AH256" s="43">
        <f t="shared" si="587"/>
        <v>0.81</v>
      </c>
      <c r="AI256" s="43">
        <f t="shared" si="587"/>
        <v>0.83599999999999997</v>
      </c>
      <c r="AJ256" s="43">
        <f t="shared" si="587"/>
        <v>0.81300000000000006</v>
      </c>
      <c r="AK256" s="1021">
        <f t="shared" si="587"/>
        <v>0.81799999999999995</v>
      </c>
      <c r="AL256" s="43">
        <f t="shared" si="587"/>
        <v>0.85699999999999998</v>
      </c>
      <c r="AM256" s="43">
        <f t="shared" si="587"/>
        <v>0.88099999999999989</v>
      </c>
      <c r="AN256" s="43">
        <f>AN252-AN254-AN255</f>
        <v>0.89</v>
      </c>
      <c r="AO256" s="43">
        <f t="shared" si="588" ref="AO256:AQ256">AO252-AO254-AO255</f>
        <v>0.85</v>
      </c>
      <c r="AP256" s="1021">
        <f t="shared" si="588"/>
        <v>0.87</v>
      </c>
      <c r="AQ256" s="43">
        <f t="shared" si="588"/>
        <v>0.84199999999999997</v>
      </c>
      <c r="AR256" s="43">
        <f t="shared" si="589" ref="AR256:AW256">AR252-AR254-AR255</f>
        <v>0.83399999999999996</v>
      </c>
      <c r="AS256" s="43">
        <f t="shared" si="589"/>
        <v>0.83399999999999996</v>
      </c>
      <c r="AT256" s="43">
        <f t="shared" si="589"/>
        <v>0.83299999999999996</v>
      </c>
      <c r="AU256" s="1021">
        <f t="shared" si="589"/>
        <v>0.835</v>
      </c>
      <c r="AV256" s="43">
        <f t="shared" si="589"/>
        <v>0.82200000000000006</v>
      </c>
      <c r="AW256" s="43">
        <f t="shared" si="589"/>
        <v>0.82199999999999995</v>
      </c>
      <c r="AX256" s="43">
        <f t="shared" si="590" ref="AX256:BC256">AX252-AX254-AX255</f>
        <v>0.78399999999999992</v>
      </c>
      <c r="AY256" s="43">
        <f t="shared" si="590"/>
        <v>0.81699999999999995</v>
      </c>
      <c r="AZ256" s="1021">
        <f t="shared" si="590"/>
        <v>0.81100000000000005</v>
      </c>
      <c r="BA256" s="43">
        <f t="shared" si="590"/>
        <v>0.86099999999999999</v>
      </c>
      <c r="BB256" s="43">
        <f t="shared" si="590"/>
        <v>0.878</v>
      </c>
      <c r="BC256" s="43">
        <f t="shared" si="590"/>
        <v>0.80699999999999994</v>
      </c>
      <c r="BD256" s="43">
        <f>BD252-BD254-BD255</f>
        <v>0.80599999999999994</v>
      </c>
      <c r="BE256" s="1021">
        <f>BE252-BE254-BE255</f>
        <v>0.83699999999999997</v>
      </c>
      <c r="BF256" s="43">
        <f>BF252-BF254-BF255</f>
        <v>0.865</v>
      </c>
      <c r="BG256" s="43">
        <f>BG252-BG254-BG255</f>
        <v>0.86099999999999999</v>
      </c>
      <c r="BH256" s="758">
        <f>BH252-BH254-BH255</f>
        <v>0.85599999999999998</v>
      </c>
      <c r="BI256" s="460"/>
      <c r="BJ256" s="1018"/>
      <c r="BK256" s="460"/>
      <c r="BL256" s="460"/>
      <c r="BM256" s="460"/>
      <c r="BN256" s="460"/>
      <c r="BO256" s="1018"/>
      <c r="BP256" s="1018"/>
      <c r="BQ256" s="1018"/>
      <c r="BR256" s="1018"/>
      <c r="BS256" s="43"/>
    </row>
    <row r="257" spans="1:71" s="28" customFormat="1" ht="15" hidden="1" outlineLevel="1">
      <c r="A257" s="472"/>
      <c r="B257" s="467"/>
      <c r="C257" s="1018"/>
      <c r="D257" s="1018"/>
      <c r="E257" s="1018"/>
      <c r="F257" s="1018"/>
      <c r="G257" s="1018"/>
      <c r="H257" s="460"/>
      <c r="I257" s="460"/>
      <c r="J257" s="460"/>
      <c r="K257" s="460"/>
      <c r="L257" s="1018"/>
      <c r="M257" s="460"/>
      <c r="N257" s="460"/>
      <c r="O257" s="460"/>
      <c r="P257" s="460"/>
      <c r="Q257" s="1018"/>
      <c r="R257" s="460"/>
      <c r="S257" s="460"/>
      <c r="T257" s="460"/>
      <c r="U257" s="460"/>
      <c r="V257" s="1018"/>
      <c r="W257" s="460"/>
      <c r="X257" s="460"/>
      <c r="Y257" s="460"/>
      <c r="Z257" s="460"/>
      <c r="AA257" s="1018"/>
      <c r="AB257" s="460"/>
      <c r="AC257" s="460"/>
      <c r="AD257" s="460"/>
      <c r="AE257" s="460"/>
      <c r="AF257" s="1018"/>
      <c r="AG257" s="460"/>
      <c r="AH257" s="460"/>
      <c r="AI257" s="460"/>
      <c r="AJ257" s="460"/>
      <c r="AK257" s="1018"/>
      <c r="AL257" s="460"/>
      <c r="AM257" s="460"/>
      <c r="AN257" s="460"/>
      <c r="AO257" s="460"/>
      <c r="AP257" s="1018"/>
      <c r="AQ257" s="460"/>
      <c r="AR257" s="460"/>
      <c r="AS257" s="460"/>
      <c r="AT257" s="460"/>
      <c r="AU257" s="1018"/>
      <c r="AV257" s="460"/>
      <c r="AW257" s="460"/>
      <c r="AX257" s="460"/>
      <c r="AY257" s="460"/>
      <c r="AZ257" s="1018"/>
      <c r="BA257" s="460"/>
      <c r="BB257" s="460"/>
      <c r="BC257" s="460"/>
      <c r="BD257" s="460"/>
      <c r="BE257" s="1018"/>
      <c r="BF257" s="460"/>
      <c r="BG257" s="460"/>
      <c r="BH257" s="757"/>
      <c r="BI257" s="460"/>
      <c r="BJ257" s="1018"/>
      <c r="BK257" s="460"/>
      <c r="BL257" s="460"/>
      <c r="BM257" s="460"/>
      <c r="BN257" s="460"/>
      <c r="BO257" s="1018"/>
      <c r="BP257" s="1018"/>
      <c r="BQ257" s="1018"/>
      <c r="BR257" s="1018"/>
      <c r="BS257" s="43"/>
    </row>
    <row r="258" spans="1:71" s="181" customFormat="1" ht="15" hidden="1" outlineLevel="1">
      <c r="A258" s="826" t="s">
        <v>459</v>
      </c>
      <c r="B258" s="826"/>
      <c r="C258" s="847"/>
      <c r="D258" s="847"/>
      <c r="E258" s="847"/>
      <c r="F258" s="847"/>
      <c r="G258" s="847"/>
      <c r="H258" s="847"/>
      <c r="I258" s="847"/>
      <c r="J258" s="847"/>
      <c r="K258" s="847"/>
      <c r="L258" s="847"/>
      <c r="M258" s="847"/>
      <c r="N258" s="847"/>
      <c r="O258" s="847"/>
      <c r="P258" s="847"/>
      <c r="Q258" s="847"/>
      <c r="R258" s="847"/>
      <c r="S258" s="847"/>
      <c r="T258" s="847"/>
      <c r="U258" s="847"/>
      <c r="V258" s="847"/>
      <c r="W258" s="847"/>
      <c r="X258" s="847"/>
      <c r="Y258" s="847"/>
      <c r="Z258" s="847"/>
      <c r="AA258" s="847"/>
      <c r="AB258" s="847"/>
      <c r="AC258" s="847"/>
      <c r="AD258" s="847"/>
      <c r="AE258" s="847"/>
      <c r="AF258" s="847"/>
      <c r="AG258" s="847"/>
      <c r="AH258" s="847"/>
      <c r="AI258" s="847"/>
      <c r="AJ258" s="847"/>
      <c r="AK258" s="847"/>
      <c r="AL258" s="847"/>
      <c r="AM258" s="847"/>
      <c r="AN258" s="847"/>
      <c r="AO258" s="847"/>
      <c r="AP258" s="847"/>
      <c r="AQ258" s="847"/>
      <c r="AR258" s="847"/>
      <c r="AS258" s="847"/>
      <c r="AT258" s="847"/>
      <c r="AU258" s="847"/>
      <c r="AV258" s="847"/>
      <c r="AW258" s="847"/>
      <c r="AX258" s="847"/>
      <c r="AY258" s="847"/>
      <c r="AZ258" s="847"/>
      <c r="BA258" s="847"/>
      <c r="BB258" s="847"/>
      <c r="BC258" s="847"/>
      <c r="BD258" s="847"/>
      <c r="BE258" s="847"/>
      <c r="BF258" s="847"/>
      <c r="BG258" s="847"/>
      <c r="BH258" s="848"/>
      <c r="BI258" s="847"/>
      <c r="BJ258" s="847"/>
      <c r="BK258" s="847"/>
      <c r="BL258" s="847"/>
      <c r="BM258" s="847"/>
      <c r="BN258" s="847"/>
      <c r="BO258" s="847"/>
      <c r="BP258" s="847"/>
      <c r="BQ258" s="847"/>
      <c r="BR258" s="847"/>
      <c r="BS258" s="423"/>
    </row>
    <row r="259" spans="1:71" s="261" customFormat="1" ht="15" hidden="1" outlineLevel="1">
      <c r="A259" s="264" t="s">
        <v>469</v>
      </c>
      <c r="B259" s="468"/>
      <c r="C259" s="1032">
        <v>3713</v>
      </c>
      <c r="D259" s="1032">
        <v>3534</v>
      </c>
      <c r="E259" s="1032">
        <v>3408</v>
      </c>
      <c r="F259" s="1032">
        <v>3275</v>
      </c>
      <c r="G259" s="1032">
        <v>2131</v>
      </c>
      <c r="H259" s="924">
        <v>528</v>
      </c>
      <c r="I259" s="924">
        <v>542</v>
      </c>
      <c r="J259" s="924">
        <v>562</v>
      </c>
      <c r="K259" s="924">
        <v>533</v>
      </c>
      <c r="L259" s="993">
        <f>SUM(H259,I259,J259,K259)</f>
        <v>2165</v>
      </c>
      <c r="M259" s="924">
        <v>522</v>
      </c>
      <c r="N259" s="924">
        <v>537</v>
      </c>
      <c r="O259" s="924">
        <v>580</v>
      </c>
      <c r="P259" s="924">
        <v>514</v>
      </c>
      <c r="Q259" s="993">
        <f>SUM(M259,N259,O259,P259)</f>
        <v>2153</v>
      </c>
      <c r="R259" s="924">
        <v>577</v>
      </c>
      <c r="S259" s="924">
        <v>589</v>
      </c>
      <c r="T259" s="924">
        <v>618</v>
      </c>
      <c r="U259" s="924">
        <v>588</v>
      </c>
      <c r="V259" s="993">
        <f>SUM(R259,S259,T259,U259)</f>
        <v>2372</v>
      </c>
      <c r="W259" s="924">
        <v>601</v>
      </c>
      <c r="X259" s="924">
        <v>620</v>
      </c>
      <c r="Y259" s="924">
        <v>632</v>
      </c>
      <c r="Z259" s="924">
        <v>627</v>
      </c>
      <c r="AA259" s="993">
        <f>SUM(W259,X259,Y259,Z259)</f>
        <v>2480</v>
      </c>
      <c r="AB259" s="924">
        <v>638</v>
      </c>
      <c r="AC259" s="924">
        <v>674</v>
      </c>
      <c r="AD259" s="924">
        <v>673</v>
      </c>
      <c r="AE259" s="924">
        <v>680</v>
      </c>
      <c r="AF259" s="993">
        <f>SUM(AB259,AC259,AD259,AE259)</f>
        <v>2665</v>
      </c>
      <c r="AG259" s="924">
        <v>662</v>
      </c>
      <c r="AH259" s="924">
        <v>747</v>
      </c>
      <c r="AI259" s="924">
        <v>770</v>
      </c>
      <c r="AJ259" s="924">
        <v>752</v>
      </c>
      <c r="AK259" s="993">
        <f>SUM(AG259,AH259,AI259,AJ259)</f>
        <v>2931</v>
      </c>
      <c r="AL259" s="924">
        <v>750</v>
      </c>
      <c r="AM259" s="924">
        <v>770</v>
      </c>
      <c r="AN259" s="924">
        <v>803</v>
      </c>
      <c r="AO259" s="265">
        <f t="shared" si="591" ref="AO259:AO265">AP259-SUM(AL259,AM259,AN259)</f>
        <v>861</v>
      </c>
      <c r="AP259" s="1032">
        <v>3184</v>
      </c>
      <c r="AQ259" s="924">
        <v>834</v>
      </c>
      <c r="AR259" s="924">
        <v>919</v>
      </c>
      <c r="AS259" s="924">
        <v>984</v>
      </c>
      <c r="AT259" s="265">
        <f>AU259-SUM(AQ259,AR259,AS259)</f>
        <v>988</v>
      </c>
      <c r="AU259" s="1032">
        <v>3725</v>
      </c>
      <c r="AV259" s="924">
        <v>1009</v>
      </c>
      <c r="AW259" s="924">
        <v>1036</v>
      </c>
      <c r="AX259" s="924">
        <v>1043</v>
      </c>
      <c r="AY259" s="265">
        <f>AZ259-SUM(AV259,AW259,AX259)</f>
        <v>994</v>
      </c>
      <c r="AZ259" s="1032">
        <v>4082</v>
      </c>
      <c r="BA259" s="924">
        <v>1010</v>
      </c>
      <c r="BB259" s="924">
        <v>1035</v>
      </c>
      <c r="BC259" s="924">
        <v>1082</v>
      </c>
      <c r="BD259" s="265">
        <f>BE259-SUM(BA259,BB259,BC259)</f>
        <v>1060</v>
      </c>
      <c r="BE259" s="1032">
        <v>4187</v>
      </c>
      <c r="BF259" s="924">
        <v>1076</v>
      </c>
      <c r="BG259" s="924">
        <v>1127</v>
      </c>
      <c r="BH259" s="925">
        <v>1165</v>
      </c>
      <c r="BI259" s="210"/>
      <c r="BJ259" s="994"/>
      <c r="BK259" s="210"/>
      <c r="BL259" s="210"/>
      <c r="BM259" s="210"/>
      <c r="BN259" s="210"/>
      <c r="BO259" s="994"/>
      <c r="BP259" s="994"/>
      <c r="BQ259" s="994"/>
      <c r="BR259" s="994"/>
      <c r="BS259" s="265"/>
    </row>
    <row r="260" spans="1:71" s="261" customFormat="1" ht="15" hidden="1" outlineLevel="1">
      <c r="A260" s="264" t="s">
        <v>470</v>
      </c>
      <c r="B260" s="468"/>
      <c r="C260" s="1032">
        <v>3285</v>
      </c>
      <c r="D260" s="1032">
        <v>3211</v>
      </c>
      <c r="E260" s="1032">
        <v>3102</v>
      </c>
      <c r="F260" s="1032">
        <v>2981</v>
      </c>
      <c r="G260" s="1032">
        <v>2030</v>
      </c>
      <c r="H260" s="924">
        <v>482</v>
      </c>
      <c r="I260" s="924">
        <v>540</v>
      </c>
      <c r="J260" s="924">
        <v>556</v>
      </c>
      <c r="K260" s="924">
        <v>525</v>
      </c>
      <c r="L260" s="993">
        <f>SUM(H260,I260,J260,K260)</f>
        <v>2103</v>
      </c>
      <c r="M260" s="924">
        <v>478</v>
      </c>
      <c r="N260" s="924">
        <v>534</v>
      </c>
      <c r="O260" s="924">
        <v>565</v>
      </c>
      <c r="P260" s="924">
        <v>504</v>
      </c>
      <c r="Q260" s="993">
        <f>SUM(M260,N260,O260,P260)</f>
        <v>2081</v>
      </c>
      <c r="R260" s="924">
        <v>522</v>
      </c>
      <c r="S260" s="924">
        <v>570</v>
      </c>
      <c r="T260" s="924">
        <v>600</v>
      </c>
      <c r="U260" s="924">
        <v>579</v>
      </c>
      <c r="V260" s="993">
        <f>SUM(R260,S260,T260,U260)</f>
        <v>2271</v>
      </c>
      <c r="W260" s="924">
        <v>544</v>
      </c>
      <c r="X260" s="924">
        <v>598</v>
      </c>
      <c r="Y260" s="924">
        <v>611</v>
      </c>
      <c r="Z260" s="924">
        <v>606</v>
      </c>
      <c r="AA260" s="993">
        <f>SUM(W260,X260,Y260,Z260)</f>
        <v>2359</v>
      </c>
      <c r="AB260" s="924">
        <v>574</v>
      </c>
      <c r="AC260" s="924">
        <v>653</v>
      </c>
      <c r="AD260" s="924">
        <v>644</v>
      </c>
      <c r="AE260" s="924">
        <v>657</v>
      </c>
      <c r="AF260" s="993">
        <f>SUM(AB260,AC260,AD260,AE260)</f>
        <v>2528</v>
      </c>
      <c r="AG260" s="924">
        <v>587</v>
      </c>
      <c r="AH260" s="924">
        <v>710</v>
      </c>
      <c r="AI260" s="924">
        <v>728</v>
      </c>
      <c r="AJ260" s="924">
        <v>714</v>
      </c>
      <c r="AK260" s="993">
        <f>SUM(AG260,AH260,AI260,AJ260)</f>
        <v>2739</v>
      </c>
      <c r="AL260" s="924">
        <v>663</v>
      </c>
      <c r="AM260" s="924">
        <v>734</v>
      </c>
      <c r="AN260" s="924">
        <v>754</v>
      </c>
      <c r="AO260" s="265">
        <f t="shared" si="591"/>
        <v>800</v>
      </c>
      <c r="AP260" s="1032">
        <v>2951</v>
      </c>
      <c r="AQ260" s="924">
        <v>723</v>
      </c>
      <c r="AR260" s="924">
        <v>854</v>
      </c>
      <c r="AS260" s="924">
        <v>894</v>
      </c>
      <c r="AT260" s="265">
        <f>AU260-SUM(AQ260,AR260,AS260)</f>
        <v>905</v>
      </c>
      <c r="AU260" s="1032">
        <v>3376</v>
      </c>
      <c r="AV260" s="924">
        <v>882</v>
      </c>
      <c r="AW260" s="924">
        <v>962</v>
      </c>
      <c r="AX260" s="924">
        <v>964</v>
      </c>
      <c r="AY260" s="265">
        <f>AZ260-SUM(AV260,AW260,AX260)</f>
        <v>924</v>
      </c>
      <c r="AZ260" s="1032">
        <v>3732</v>
      </c>
      <c r="BA260" s="924">
        <v>886</v>
      </c>
      <c r="BB260" s="924">
        <v>964</v>
      </c>
      <c r="BC260" s="924">
        <v>1003</v>
      </c>
      <c r="BD260" s="265">
        <f>BE260-SUM(BA260,BB260,BC260)</f>
        <v>989</v>
      </c>
      <c r="BE260" s="1032">
        <v>3842</v>
      </c>
      <c r="BF260" s="924">
        <v>943</v>
      </c>
      <c r="BG260" s="924">
        <v>1040</v>
      </c>
      <c r="BH260" s="925">
        <v>1072</v>
      </c>
      <c r="BI260" s="210"/>
      <c r="BJ260" s="994"/>
      <c r="BK260" s="210"/>
      <c r="BL260" s="210"/>
      <c r="BM260" s="210"/>
      <c r="BN260" s="210"/>
      <c r="BO260" s="994"/>
      <c r="BP260" s="994"/>
      <c r="BQ260" s="994"/>
      <c r="BR260" s="994"/>
      <c r="BS260" s="265"/>
    </row>
    <row r="261" spans="1:71" s="261" customFormat="1" ht="15" hidden="1" outlineLevel="1">
      <c r="A261" s="264" t="s">
        <v>471</v>
      </c>
      <c r="B261" s="468"/>
      <c r="C261" s="1032">
        <v>3333</v>
      </c>
      <c r="D261" s="1032">
        <v>3317</v>
      </c>
      <c r="E261" s="1032">
        <v>3174</v>
      </c>
      <c r="F261" s="1032">
        <v>3045</v>
      </c>
      <c r="G261" s="1032">
        <v>1981</v>
      </c>
      <c r="H261" s="924">
        <v>503</v>
      </c>
      <c r="I261" s="924">
        <v>524</v>
      </c>
      <c r="J261" s="924">
        <v>527</v>
      </c>
      <c r="K261" s="924">
        <v>522</v>
      </c>
      <c r="L261" s="993">
        <f>SUM(H261,I261,J261,K261)</f>
        <v>2076</v>
      </c>
      <c r="M261" s="924">
        <v>504</v>
      </c>
      <c r="N261" s="924">
        <v>524</v>
      </c>
      <c r="O261" s="924">
        <v>539</v>
      </c>
      <c r="P261" s="924">
        <v>518</v>
      </c>
      <c r="Q261" s="993">
        <f>SUM(M261,N261,O261,P261)</f>
        <v>2085</v>
      </c>
      <c r="R261" s="924">
        <v>552</v>
      </c>
      <c r="S261" s="924">
        <v>559</v>
      </c>
      <c r="T261" s="924">
        <v>573</v>
      </c>
      <c r="U261" s="924">
        <v>576</v>
      </c>
      <c r="V261" s="993">
        <f>SUM(R261,S261,T261,U261)</f>
        <v>2260</v>
      </c>
      <c r="W261" s="924">
        <v>555</v>
      </c>
      <c r="X261" s="924">
        <v>575</v>
      </c>
      <c r="Y261" s="924">
        <v>591</v>
      </c>
      <c r="Z261" s="924">
        <v>586</v>
      </c>
      <c r="AA261" s="993">
        <f>SUM(W261,X261,Y261,Z261)</f>
        <v>2307</v>
      </c>
      <c r="AB261" s="924">
        <v>582</v>
      </c>
      <c r="AC261" s="924">
        <v>601</v>
      </c>
      <c r="AD261" s="924">
        <v>617</v>
      </c>
      <c r="AE261" s="924">
        <v>620</v>
      </c>
      <c r="AF261" s="993">
        <f>SUM(AB261,AC261,AD261,AE261)</f>
        <v>2420</v>
      </c>
      <c r="AG261" s="924">
        <v>606</v>
      </c>
      <c r="AH261" s="924">
        <v>632</v>
      </c>
      <c r="AI261" s="924">
        <v>653</v>
      </c>
      <c r="AJ261" s="924">
        <v>674</v>
      </c>
      <c r="AK261" s="993">
        <f>SUM(AG261,AH261,AI261,AJ261)</f>
        <v>2565</v>
      </c>
      <c r="AL261" s="924">
        <v>667</v>
      </c>
      <c r="AM261" s="924">
        <v>693</v>
      </c>
      <c r="AN261" s="924">
        <v>723</v>
      </c>
      <c r="AO261" s="265">
        <f t="shared" si="591"/>
        <v>740</v>
      </c>
      <c r="AP261" s="1032">
        <v>2823</v>
      </c>
      <c r="AQ261" s="924">
        <v>743</v>
      </c>
      <c r="AR261" s="924">
        <v>776</v>
      </c>
      <c r="AS261" s="924">
        <v>806</v>
      </c>
      <c r="AT261" s="265">
        <f>AU261-SUM(AQ261,AR261,AS261)</f>
        <v>813</v>
      </c>
      <c r="AU261" s="1032">
        <v>3138</v>
      </c>
      <c r="AV261" s="924">
        <v>820</v>
      </c>
      <c r="AW261" s="924">
        <v>851</v>
      </c>
      <c r="AX261" s="924">
        <v>877</v>
      </c>
      <c r="AY261" s="265">
        <f>AZ261-SUM(AV261,AW261,AX261)</f>
        <v>870</v>
      </c>
      <c r="AZ261" s="1032">
        <v>3418</v>
      </c>
      <c r="BA261" s="924">
        <v>875</v>
      </c>
      <c r="BB261" s="924">
        <v>911</v>
      </c>
      <c r="BC261" s="924">
        <v>935</v>
      </c>
      <c r="BD261" s="265">
        <f>BE261-SUM(BA261,BB261,BC261)</f>
        <v>934</v>
      </c>
      <c r="BE261" s="1032">
        <v>3655</v>
      </c>
      <c r="BF261" s="924">
        <v>956</v>
      </c>
      <c r="BG261" s="924">
        <v>977</v>
      </c>
      <c r="BH261" s="925">
        <v>1009</v>
      </c>
      <c r="BI261" s="210"/>
      <c r="BJ261" s="994"/>
      <c r="BK261" s="210"/>
      <c r="BL261" s="210"/>
      <c r="BM261" s="210"/>
      <c r="BN261" s="210"/>
      <c r="BO261" s="994"/>
      <c r="BP261" s="994"/>
      <c r="BQ261" s="994"/>
      <c r="BR261" s="994"/>
      <c r="BS261" s="265"/>
    </row>
    <row r="262" spans="1:71" s="261" customFormat="1" ht="15" hidden="1" outlineLevel="1">
      <c r="A262" s="264" t="s">
        <v>472</v>
      </c>
      <c r="B262" s="468"/>
      <c r="C262" s="1032">
        <v>1747</v>
      </c>
      <c r="D262" s="1032">
        <v>1691</v>
      </c>
      <c r="E262" s="1032">
        <v>1474</v>
      </c>
      <c r="F262" s="1032">
        <v>1306</v>
      </c>
      <c r="G262" s="1032">
        <v>689</v>
      </c>
      <c r="H262" s="924">
        <v>155</v>
      </c>
      <c r="I262" s="924">
        <v>108</v>
      </c>
      <c r="J262" s="924">
        <v>152</v>
      </c>
      <c r="K262" s="924">
        <v>58</v>
      </c>
      <c r="L262" s="993">
        <f>SUM(H262,I262,J262,K262)</f>
        <v>473</v>
      </c>
      <c r="M262" s="924">
        <v>189</v>
      </c>
      <c r="N262" s="924">
        <v>191</v>
      </c>
      <c r="O262" s="924">
        <v>111</v>
      </c>
      <c r="P262" s="924">
        <v>143</v>
      </c>
      <c r="Q262" s="993">
        <f>SUM(M262,N262,O262,P262)</f>
        <v>634</v>
      </c>
      <c r="R262" s="924">
        <v>177</v>
      </c>
      <c r="S262" s="924">
        <v>91</v>
      </c>
      <c r="T262" s="924">
        <v>184</v>
      </c>
      <c r="U262" s="924">
        <v>167</v>
      </c>
      <c r="V262" s="993">
        <f>SUM(R262,S262,T262,U262)</f>
        <v>619</v>
      </c>
      <c r="W262" s="924">
        <v>226</v>
      </c>
      <c r="X262" s="924">
        <v>170</v>
      </c>
      <c r="Y262" s="924">
        <v>233</v>
      </c>
      <c r="Z262" s="924">
        <v>261</v>
      </c>
      <c r="AA262" s="993">
        <f>SUM(W262,X262,Y262,Z262)</f>
        <v>890</v>
      </c>
      <c r="AB262" s="924">
        <v>213</v>
      </c>
      <c r="AC262" s="924">
        <v>173</v>
      </c>
      <c r="AD262" s="924">
        <v>204</v>
      </c>
      <c r="AE262" s="924">
        <v>173</v>
      </c>
      <c r="AF262" s="993">
        <f>SUM(AB262,AC262,AD262,AE262)</f>
        <v>763</v>
      </c>
      <c r="AG262" s="924">
        <v>264</v>
      </c>
      <c r="AH262" s="924">
        <v>236</v>
      </c>
      <c r="AI262" s="924">
        <v>298</v>
      </c>
      <c r="AJ262" s="924">
        <v>286</v>
      </c>
      <c r="AK262" s="993">
        <f>SUM(AG262,AH262,AI262,AJ262)</f>
        <v>1084</v>
      </c>
      <c r="AL262" s="924">
        <v>325</v>
      </c>
      <c r="AM262" s="924">
        <v>401</v>
      </c>
      <c r="AN262" s="924">
        <v>390</v>
      </c>
      <c r="AO262" s="265">
        <f t="shared" si="591"/>
        <v>339</v>
      </c>
      <c r="AP262" s="1032">
        <v>1455</v>
      </c>
      <c r="AQ262" s="924">
        <v>371</v>
      </c>
      <c r="AR262" s="924">
        <v>331</v>
      </c>
      <c r="AS262" s="924">
        <v>373</v>
      </c>
      <c r="AT262" s="265">
        <f>AU262-SUM(AQ262,AR262,AS262)</f>
        <v>385</v>
      </c>
      <c r="AU262" s="1032">
        <v>1460</v>
      </c>
      <c r="AV262" s="924">
        <v>351</v>
      </c>
      <c r="AW262" s="924">
        <v>328</v>
      </c>
      <c r="AX262" s="924">
        <v>328</v>
      </c>
      <c r="AY262" s="265">
        <f>AZ262-SUM(AV262,AW262,AX262)</f>
        <v>359</v>
      </c>
      <c r="AZ262" s="1032">
        <v>1366</v>
      </c>
      <c r="BA262" s="924">
        <v>376</v>
      </c>
      <c r="BB262" s="924">
        <v>363</v>
      </c>
      <c r="BC262" s="924">
        <v>345</v>
      </c>
      <c r="BD262" s="265">
        <f>BE262-SUM(BA262,BB262,BC262)</f>
        <v>384</v>
      </c>
      <c r="BE262" s="1032">
        <v>1468</v>
      </c>
      <c r="BF262" s="924">
        <v>424</v>
      </c>
      <c r="BG262" s="924">
        <v>468</v>
      </c>
      <c r="BH262" s="925">
        <v>438</v>
      </c>
      <c r="BI262" s="210"/>
      <c r="BJ262" s="994"/>
      <c r="BK262" s="210"/>
      <c r="BL262" s="210"/>
      <c r="BM262" s="210"/>
      <c r="BN262" s="210"/>
      <c r="BO262" s="994"/>
      <c r="BP262" s="994"/>
      <c r="BQ262" s="994"/>
      <c r="BR262" s="994"/>
      <c r="BS262" s="265"/>
    </row>
    <row r="263" spans="1:71" s="261" customFormat="1" ht="15" hidden="1" outlineLevel="1">
      <c r="A263" s="209" t="s">
        <v>473</v>
      </c>
      <c r="B263" s="469"/>
      <c r="C263" s="1033">
        <v>1173</v>
      </c>
      <c r="D263" s="1033">
        <v>1192</v>
      </c>
      <c r="E263" s="1033">
        <v>1224</v>
      </c>
      <c r="F263" s="1033">
        <v>1244</v>
      </c>
      <c r="G263" s="1033">
        <v>769</v>
      </c>
      <c r="H263" s="927">
        <v>197</v>
      </c>
      <c r="I263" s="927">
        <v>201</v>
      </c>
      <c r="J263" s="927">
        <v>205</v>
      </c>
      <c r="K263" s="927">
        <v>198</v>
      </c>
      <c r="L263" s="995">
        <f>SUM(H263,I263,J263,K263)</f>
        <v>801</v>
      </c>
      <c r="M263" s="927">
        <v>196</v>
      </c>
      <c r="N263" s="927">
        <v>199</v>
      </c>
      <c r="O263" s="927">
        <v>202</v>
      </c>
      <c r="P263" s="927">
        <v>188</v>
      </c>
      <c r="Q263" s="995">
        <f>SUM(M263,N263,O263,P263)</f>
        <v>785</v>
      </c>
      <c r="R263" s="927">
        <v>212</v>
      </c>
      <c r="S263" s="927">
        <v>218</v>
      </c>
      <c r="T263" s="927">
        <v>225</v>
      </c>
      <c r="U263" s="927">
        <v>217</v>
      </c>
      <c r="V263" s="995">
        <f>SUM(R263,S263,T263,U263)</f>
        <v>872</v>
      </c>
      <c r="W263" s="927">
        <v>219</v>
      </c>
      <c r="X263" s="927">
        <v>228</v>
      </c>
      <c r="Y263" s="927">
        <v>231</v>
      </c>
      <c r="Z263" s="927">
        <v>226</v>
      </c>
      <c r="AA263" s="995">
        <f>SUM(W263,X263,Y263,Z263)</f>
        <v>904</v>
      </c>
      <c r="AB263" s="927">
        <v>232</v>
      </c>
      <c r="AC263" s="927">
        <v>234</v>
      </c>
      <c r="AD263" s="927">
        <v>232</v>
      </c>
      <c r="AE263" s="927">
        <v>231</v>
      </c>
      <c r="AF263" s="995">
        <f>SUM(AB263,AC263,AD263,AE263)</f>
        <v>929</v>
      </c>
      <c r="AG263" s="927">
        <v>233</v>
      </c>
      <c r="AH263" s="927">
        <v>251</v>
      </c>
      <c r="AI263" s="927">
        <v>261</v>
      </c>
      <c r="AJ263" s="927">
        <v>242</v>
      </c>
      <c r="AK263" s="995">
        <f>SUM(AG263,AH263,AI263,AJ263)</f>
        <v>987</v>
      </c>
      <c r="AL263" s="927">
        <v>254</v>
      </c>
      <c r="AM263" s="927">
        <v>253</v>
      </c>
      <c r="AN263" s="927">
        <v>261</v>
      </c>
      <c r="AO263" s="186">
        <f t="shared" si="591"/>
        <v>261</v>
      </c>
      <c r="AP263" s="1033">
        <v>1029</v>
      </c>
      <c r="AQ263" s="927">
        <v>270</v>
      </c>
      <c r="AR263" s="927">
        <v>287</v>
      </c>
      <c r="AS263" s="927">
        <v>300</v>
      </c>
      <c r="AT263" s="186">
        <f>AU263-SUM(AQ263,AR263,AS263)</f>
        <v>288</v>
      </c>
      <c r="AU263" s="1033">
        <v>1145</v>
      </c>
      <c r="AV263" s="927">
        <v>319</v>
      </c>
      <c r="AW263" s="927">
        <v>319</v>
      </c>
      <c r="AX263" s="927">
        <v>326</v>
      </c>
      <c r="AY263" s="186">
        <f>AZ263-SUM(AV263,AW263,AX263)</f>
        <v>306</v>
      </c>
      <c r="AZ263" s="1033">
        <v>1270</v>
      </c>
      <c r="BA263" s="927">
        <v>346</v>
      </c>
      <c r="BB263" s="927">
        <v>352</v>
      </c>
      <c r="BC263" s="927">
        <v>359</v>
      </c>
      <c r="BD263" s="186">
        <f>BE263-SUM(BA263,BB263,BC263)</f>
        <v>333</v>
      </c>
      <c r="BE263" s="1033">
        <v>1390</v>
      </c>
      <c r="BF263" s="927">
        <v>411</v>
      </c>
      <c r="BG263" s="927">
        <v>408</v>
      </c>
      <c r="BH263" s="928">
        <v>421</v>
      </c>
      <c r="BI263" s="205"/>
      <c r="BJ263" s="996"/>
      <c r="BK263" s="205"/>
      <c r="BL263" s="205"/>
      <c r="BM263" s="205"/>
      <c r="BN263" s="205"/>
      <c r="BO263" s="996"/>
      <c r="BP263" s="996"/>
      <c r="BQ263" s="996"/>
      <c r="BR263" s="996"/>
      <c r="BS263" s="265"/>
    </row>
    <row r="264" spans="1:71" s="45" customFormat="1" ht="15" hidden="1" outlineLevel="1">
      <c r="A264" s="197" t="s">
        <v>474</v>
      </c>
      <c r="B264" s="470"/>
      <c r="C264" s="1008">
        <f t="shared" si="592" ref="C264:AM264">C261-C262-C263</f>
        <v>413</v>
      </c>
      <c r="D264" s="1008">
        <f t="shared" si="592"/>
        <v>434</v>
      </c>
      <c r="E264" s="1008">
        <f t="shared" si="592"/>
        <v>476</v>
      </c>
      <c r="F264" s="1008">
        <f t="shared" si="592"/>
        <v>495</v>
      </c>
      <c r="G264" s="1008">
        <f t="shared" si="592"/>
        <v>523</v>
      </c>
      <c r="H264" s="185">
        <f t="shared" si="592"/>
        <v>151</v>
      </c>
      <c r="I264" s="185">
        <f t="shared" si="592"/>
        <v>215</v>
      </c>
      <c r="J264" s="185">
        <f t="shared" si="592"/>
        <v>170</v>
      </c>
      <c r="K264" s="185">
        <f t="shared" si="592"/>
        <v>266</v>
      </c>
      <c r="L264" s="1008">
        <f t="shared" si="592"/>
        <v>802</v>
      </c>
      <c r="M264" s="185">
        <f t="shared" si="592"/>
        <v>119</v>
      </c>
      <c r="N264" s="185">
        <f t="shared" si="592"/>
        <v>134</v>
      </c>
      <c r="O264" s="185">
        <f t="shared" si="592"/>
        <v>226</v>
      </c>
      <c r="P264" s="185">
        <f t="shared" si="592"/>
        <v>187</v>
      </c>
      <c r="Q264" s="1008">
        <f t="shared" si="592"/>
        <v>666</v>
      </c>
      <c r="R264" s="185">
        <f t="shared" si="592"/>
        <v>163</v>
      </c>
      <c r="S264" s="185">
        <f t="shared" si="592"/>
        <v>250</v>
      </c>
      <c r="T264" s="185">
        <f t="shared" si="592"/>
        <v>164</v>
      </c>
      <c r="U264" s="185">
        <f t="shared" si="592"/>
        <v>192</v>
      </c>
      <c r="V264" s="1008">
        <f t="shared" si="592"/>
        <v>769</v>
      </c>
      <c r="W264" s="185">
        <f t="shared" si="592"/>
        <v>110</v>
      </c>
      <c r="X264" s="185">
        <f t="shared" si="592"/>
        <v>177</v>
      </c>
      <c r="Y264" s="185">
        <f t="shared" si="592"/>
        <v>127</v>
      </c>
      <c r="Z264" s="185">
        <f t="shared" si="592"/>
        <v>99</v>
      </c>
      <c r="AA264" s="1008">
        <f t="shared" si="592"/>
        <v>513</v>
      </c>
      <c r="AB264" s="185">
        <f t="shared" si="592"/>
        <v>137</v>
      </c>
      <c r="AC264" s="185">
        <f t="shared" si="592"/>
        <v>194</v>
      </c>
      <c r="AD264" s="185">
        <f t="shared" si="592"/>
        <v>181</v>
      </c>
      <c r="AE264" s="185">
        <f t="shared" si="592"/>
        <v>216</v>
      </c>
      <c r="AF264" s="1008">
        <f t="shared" si="592"/>
        <v>728</v>
      </c>
      <c r="AG264" s="185">
        <f t="shared" si="592"/>
        <v>109</v>
      </c>
      <c r="AH264" s="185">
        <f t="shared" si="592"/>
        <v>145</v>
      </c>
      <c r="AI264" s="185">
        <f t="shared" si="592"/>
        <v>94</v>
      </c>
      <c r="AJ264" s="185">
        <f t="shared" si="592"/>
        <v>146</v>
      </c>
      <c r="AK264" s="1008">
        <f t="shared" si="592"/>
        <v>494</v>
      </c>
      <c r="AL264" s="185">
        <f t="shared" si="592"/>
        <v>88</v>
      </c>
      <c r="AM264" s="185">
        <f t="shared" si="592"/>
        <v>39</v>
      </c>
      <c r="AN264" s="185">
        <f>AN261-AN262-AN263</f>
        <v>72</v>
      </c>
      <c r="AO264" s="185">
        <f t="shared" si="593" ref="AO264:AQ264">AO261-AO262-AO263</f>
        <v>140</v>
      </c>
      <c r="AP264" s="1008">
        <f t="shared" si="593"/>
        <v>339</v>
      </c>
      <c r="AQ264" s="185">
        <f t="shared" si="593"/>
        <v>102</v>
      </c>
      <c r="AR264" s="185">
        <f t="shared" si="594" ref="AR264:AW264">AR261-AR262-AR263</f>
        <v>158</v>
      </c>
      <c r="AS264" s="185">
        <f t="shared" si="594"/>
        <v>133</v>
      </c>
      <c r="AT264" s="185">
        <f t="shared" si="594"/>
        <v>140</v>
      </c>
      <c r="AU264" s="1008">
        <f t="shared" si="594"/>
        <v>533</v>
      </c>
      <c r="AV264" s="185">
        <f t="shared" si="594"/>
        <v>150</v>
      </c>
      <c r="AW264" s="185">
        <f t="shared" si="594"/>
        <v>204</v>
      </c>
      <c r="AX264" s="185">
        <f t="shared" si="595" ref="AX264:BC264">AX261-AX262-AX263</f>
        <v>223</v>
      </c>
      <c r="AY264" s="185">
        <f t="shared" si="595"/>
        <v>205</v>
      </c>
      <c r="AZ264" s="1008">
        <f t="shared" si="595"/>
        <v>782</v>
      </c>
      <c r="BA264" s="185">
        <f t="shared" si="595"/>
        <v>153</v>
      </c>
      <c r="BB264" s="185">
        <f t="shared" si="595"/>
        <v>196</v>
      </c>
      <c r="BC264" s="185">
        <f t="shared" si="595"/>
        <v>231</v>
      </c>
      <c r="BD264" s="185">
        <f>BD261-BD262-BD263</f>
        <v>217</v>
      </c>
      <c r="BE264" s="1008">
        <f>BE261-BE262-BE263</f>
        <v>797</v>
      </c>
      <c r="BF264" s="185">
        <f>BF261-BF262-BF263</f>
        <v>121</v>
      </c>
      <c r="BG264" s="185">
        <f>BG261-BG262-BG263</f>
        <v>101</v>
      </c>
      <c r="BH264" s="749">
        <f>BH261-BH262-BH263</f>
        <v>150</v>
      </c>
      <c r="BI264" s="199"/>
      <c r="BJ264" s="1009"/>
      <c r="BK264" s="199"/>
      <c r="BL264" s="199"/>
      <c r="BM264" s="199"/>
      <c r="BN264" s="199"/>
      <c r="BO264" s="1009"/>
      <c r="BP264" s="1009"/>
      <c r="BQ264" s="1009"/>
      <c r="BR264" s="1009"/>
      <c r="BS264" s="185"/>
    </row>
    <row r="265" spans="1:71" s="261" customFormat="1" ht="15" hidden="1" outlineLevel="1">
      <c r="A265" s="209" t="s">
        <v>475</v>
      </c>
      <c r="B265" s="469"/>
      <c r="C265" s="1033">
        <v>10</v>
      </c>
      <c r="D265" s="1033">
        <v>9</v>
      </c>
      <c r="E265" s="1033">
        <v>12</v>
      </c>
      <c r="F265" s="1033">
        <v>9</v>
      </c>
      <c r="G265" s="1033">
        <v>7</v>
      </c>
      <c r="H265" s="927">
        <v>3</v>
      </c>
      <c r="I265" s="927">
        <v>2</v>
      </c>
      <c r="J265" s="927">
        <v>2</v>
      </c>
      <c r="K265" s="927">
        <v>2</v>
      </c>
      <c r="L265" s="995">
        <f>SUM(H265,I265,J265,K265)</f>
        <v>9</v>
      </c>
      <c r="M265" s="927">
        <v>2</v>
      </c>
      <c r="N265" s="927">
        <v>2</v>
      </c>
      <c r="O265" s="927">
        <v>3</v>
      </c>
      <c r="P265" s="927">
        <v>3</v>
      </c>
      <c r="Q265" s="995">
        <f>SUM(M265,N265,O265,P265)</f>
        <v>10</v>
      </c>
      <c r="R265" s="927">
        <v>2</v>
      </c>
      <c r="S265" s="927">
        <v>2</v>
      </c>
      <c r="T265" s="927">
        <v>2</v>
      </c>
      <c r="U265" s="927">
        <v>7</v>
      </c>
      <c r="V265" s="995">
        <f>SUM(R265,S265,T265,U265)</f>
        <v>13</v>
      </c>
      <c r="W265" s="927">
        <v>2</v>
      </c>
      <c r="X265" s="927">
        <v>3</v>
      </c>
      <c r="Y265" s="927">
        <v>2</v>
      </c>
      <c r="Z265" s="927">
        <v>2</v>
      </c>
      <c r="AA265" s="995">
        <f>SUM(W265,X265,Y265,Z265)</f>
        <v>9</v>
      </c>
      <c r="AB265" s="927">
        <v>2</v>
      </c>
      <c r="AC265" s="927">
        <v>3</v>
      </c>
      <c r="AD265" s="927">
        <v>1</v>
      </c>
      <c r="AE265" s="927">
        <v>3</v>
      </c>
      <c r="AF265" s="995">
        <f>SUM(AB265,AC265,AD265,AE265)</f>
        <v>9</v>
      </c>
      <c r="AG265" s="927">
        <v>2</v>
      </c>
      <c r="AH265" s="927">
        <v>2</v>
      </c>
      <c r="AI265" s="927">
        <v>4</v>
      </c>
      <c r="AJ265" s="927">
        <v>3</v>
      </c>
      <c r="AK265" s="995">
        <f>SUM(AG265,AH265,AI265,AJ265)</f>
        <v>11</v>
      </c>
      <c r="AL265" s="927">
        <v>2</v>
      </c>
      <c r="AM265" s="927">
        <v>2</v>
      </c>
      <c r="AN265" s="927">
        <v>2</v>
      </c>
      <c r="AO265" s="186">
        <f t="shared" si="591"/>
        <v>3</v>
      </c>
      <c r="AP265" s="1033">
        <v>9</v>
      </c>
      <c r="AQ265" s="927">
        <v>3</v>
      </c>
      <c r="AR265" s="927">
        <v>4</v>
      </c>
      <c r="AS265" s="927">
        <v>2</v>
      </c>
      <c r="AT265" s="186">
        <f>AU265-SUM(AQ265,AR265,AS265)</f>
        <v>3</v>
      </c>
      <c r="AU265" s="1033">
        <v>12</v>
      </c>
      <c r="AV265" s="927">
        <v>3</v>
      </c>
      <c r="AW265" s="927">
        <v>2</v>
      </c>
      <c r="AX265" s="927">
        <v>7</v>
      </c>
      <c r="AY265" s="186">
        <f>AZ265-SUM(AV265,AW265,AX265)</f>
        <v>0</v>
      </c>
      <c r="AZ265" s="1033">
        <v>12</v>
      </c>
      <c r="BA265" s="927">
        <v>4</v>
      </c>
      <c r="BB265" s="927">
        <v>3</v>
      </c>
      <c r="BC265" s="927">
        <v>6</v>
      </c>
      <c r="BD265" s="186">
        <f>BE265-SUM(BA265,BB265,BC265)</f>
        <v>5</v>
      </c>
      <c r="BE265" s="1033">
        <v>18</v>
      </c>
      <c r="BF265" s="927">
        <v>4</v>
      </c>
      <c r="BG265" s="927">
        <v>5</v>
      </c>
      <c r="BH265" s="928">
        <v>3</v>
      </c>
      <c r="BI265" s="205"/>
      <c r="BJ265" s="996"/>
      <c r="BK265" s="205"/>
      <c r="BL265" s="205"/>
      <c r="BM265" s="205"/>
      <c r="BN265" s="205"/>
      <c r="BO265" s="996"/>
      <c r="BP265" s="996"/>
      <c r="BQ265" s="996"/>
      <c r="BR265" s="996"/>
      <c r="BS265" s="265"/>
    </row>
    <row r="266" spans="1:71" s="45" customFormat="1" ht="15" hidden="1" outlineLevel="1">
      <c r="A266" s="197" t="s">
        <v>476</v>
      </c>
      <c r="B266" s="470"/>
      <c r="C266" s="1008">
        <f t="shared" si="596" ref="C266:AM266">C264-C265</f>
        <v>403</v>
      </c>
      <c r="D266" s="1008">
        <f t="shared" si="596"/>
        <v>425</v>
      </c>
      <c r="E266" s="1008">
        <f t="shared" si="596"/>
        <v>464</v>
      </c>
      <c r="F266" s="1008">
        <f t="shared" si="596"/>
        <v>486</v>
      </c>
      <c r="G266" s="1008">
        <f t="shared" si="596"/>
        <v>516</v>
      </c>
      <c r="H266" s="185">
        <f t="shared" si="596"/>
        <v>148</v>
      </c>
      <c r="I266" s="185">
        <f t="shared" si="596"/>
        <v>213</v>
      </c>
      <c r="J266" s="185">
        <f t="shared" si="596"/>
        <v>168</v>
      </c>
      <c r="K266" s="185">
        <f t="shared" si="596"/>
        <v>264</v>
      </c>
      <c r="L266" s="1008">
        <f t="shared" si="596"/>
        <v>793</v>
      </c>
      <c r="M266" s="185">
        <f t="shared" si="596"/>
        <v>117</v>
      </c>
      <c r="N266" s="185">
        <f t="shared" si="596"/>
        <v>132</v>
      </c>
      <c r="O266" s="185">
        <f t="shared" si="596"/>
        <v>223</v>
      </c>
      <c r="P266" s="185">
        <f t="shared" si="596"/>
        <v>184</v>
      </c>
      <c r="Q266" s="1008">
        <f t="shared" si="596"/>
        <v>656</v>
      </c>
      <c r="R266" s="185">
        <f t="shared" si="596"/>
        <v>161</v>
      </c>
      <c r="S266" s="185">
        <f t="shared" si="596"/>
        <v>248</v>
      </c>
      <c r="T266" s="185">
        <f t="shared" si="596"/>
        <v>162</v>
      </c>
      <c r="U266" s="185">
        <f t="shared" si="596"/>
        <v>185</v>
      </c>
      <c r="V266" s="1008">
        <f t="shared" si="596"/>
        <v>756</v>
      </c>
      <c r="W266" s="185">
        <f t="shared" si="596"/>
        <v>108</v>
      </c>
      <c r="X266" s="185">
        <f t="shared" si="596"/>
        <v>174</v>
      </c>
      <c r="Y266" s="185">
        <f t="shared" si="596"/>
        <v>125</v>
      </c>
      <c r="Z266" s="185">
        <f t="shared" si="596"/>
        <v>97</v>
      </c>
      <c r="AA266" s="1008">
        <f t="shared" si="596"/>
        <v>504</v>
      </c>
      <c r="AB266" s="185">
        <f t="shared" si="596"/>
        <v>135</v>
      </c>
      <c r="AC266" s="185">
        <f t="shared" si="596"/>
        <v>191</v>
      </c>
      <c r="AD266" s="185">
        <f t="shared" si="596"/>
        <v>180</v>
      </c>
      <c r="AE266" s="185">
        <f t="shared" si="596"/>
        <v>213</v>
      </c>
      <c r="AF266" s="1008">
        <f t="shared" si="596"/>
        <v>719</v>
      </c>
      <c r="AG266" s="185">
        <f t="shared" si="596"/>
        <v>107</v>
      </c>
      <c r="AH266" s="185">
        <f t="shared" si="596"/>
        <v>143</v>
      </c>
      <c r="AI266" s="185">
        <f t="shared" si="596"/>
        <v>90</v>
      </c>
      <c r="AJ266" s="185">
        <f t="shared" si="596"/>
        <v>143</v>
      </c>
      <c r="AK266" s="1008">
        <f t="shared" si="596"/>
        <v>483</v>
      </c>
      <c r="AL266" s="185">
        <f t="shared" si="596"/>
        <v>86</v>
      </c>
      <c r="AM266" s="185">
        <f t="shared" si="596"/>
        <v>37</v>
      </c>
      <c r="AN266" s="185">
        <f>AN264-AN265</f>
        <v>70</v>
      </c>
      <c r="AO266" s="185">
        <f t="shared" si="597" ref="AO266:AQ266">AO264-AO265</f>
        <v>137</v>
      </c>
      <c r="AP266" s="1008">
        <f t="shared" si="597"/>
        <v>330</v>
      </c>
      <c r="AQ266" s="185">
        <f t="shared" si="597"/>
        <v>99</v>
      </c>
      <c r="AR266" s="185">
        <f t="shared" si="598" ref="AR266:AW266">AR264-AR265</f>
        <v>154</v>
      </c>
      <c r="AS266" s="185">
        <f t="shared" si="598"/>
        <v>131</v>
      </c>
      <c r="AT266" s="185">
        <f t="shared" si="598"/>
        <v>137</v>
      </c>
      <c r="AU266" s="1008">
        <f t="shared" si="598"/>
        <v>521</v>
      </c>
      <c r="AV266" s="185">
        <f t="shared" si="598"/>
        <v>147</v>
      </c>
      <c r="AW266" s="185">
        <f t="shared" si="598"/>
        <v>202</v>
      </c>
      <c r="AX266" s="185">
        <f t="shared" si="599" ref="AX266:BC266">AX264-AX265</f>
        <v>216</v>
      </c>
      <c r="AY266" s="185">
        <f t="shared" si="599"/>
        <v>205</v>
      </c>
      <c r="AZ266" s="1008">
        <f t="shared" si="599"/>
        <v>770</v>
      </c>
      <c r="BA266" s="185">
        <f t="shared" si="599"/>
        <v>149</v>
      </c>
      <c r="BB266" s="185">
        <f t="shared" si="599"/>
        <v>193</v>
      </c>
      <c r="BC266" s="185">
        <f t="shared" si="599"/>
        <v>225</v>
      </c>
      <c r="BD266" s="185">
        <f>BD264-BD265</f>
        <v>212</v>
      </c>
      <c r="BE266" s="1008">
        <f>BE264-BE265</f>
        <v>779</v>
      </c>
      <c r="BF266" s="185">
        <f>BF264-BF265</f>
        <v>117</v>
      </c>
      <c r="BG266" s="185">
        <f>BG264-BG265</f>
        <v>96</v>
      </c>
      <c r="BH266" s="749">
        <f>BH264-BH265</f>
        <v>147</v>
      </c>
      <c r="BI266" s="199"/>
      <c r="BJ266" s="1009"/>
      <c r="BK266" s="199"/>
      <c r="BL266" s="199"/>
      <c r="BM266" s="199"/>
      <c r="BN266" s="199"/>
      <c r="BO266" s="1009"/>
      <c r="BP266" s="1009"/>
      <c r="BQ266" s="1009"/>
      <c r="BR266" s="1009"/>
      <c r="BS266" s="185"/>
    </row>
    <row r="267" spans="1:71" s="28" customFormat="1" ht="15" hidden="1" outlineLevel="1">
      <c r="A267" s="472"/>
      <c r="B267" s="467"/>
      <c r="C267" s="1018"/>
      <c r="D267" s="1018"/>
      <c r="E267" s="1018"/>
      <c r="F267" s="1018"/>
      <c r="G267" s="1018"/>
      <c r="H267" s="460"/>
      <c r="I267" s="460"/>
      <c r="J267" s="460"/>
      <c r="K267" s="460"/>
      <c r="L267" s="1018"/>
      <c r="M267" s="460"/>
      <c r="N267" s="460"/>
      <c r="O267" s="460"/>
      <c r="P267" s="460"/>
      <c r="Q267" s="1018"/>
      <c r="R267" s="460"/>
      <c r="S267" s="460"/>
      <c r="T267" s="460"/>
      <c r="U267" s="460"/>
      <c r="V267" s="1018"/>
      <c r="W267" s="460"/>
      <c r="X267" s="460"/>
      <c r="Y267" s="460"/>
      <c r="Z267" s="460"/>
      <c r="AA267" s="1018"/>
      <c r="AB267" s="460"/>
      <c r="AC267" s="460"/>
      <c r="AD267" s="460"/>
      <c r="AE267" s="460"/>
      <c r="AF267" s="1018"/>
      <c r="AG267" s="460"/>
      <c r="AH267" s="460"/>
      <c r="AI267" s="460"/>
      <c r="AJ267" s="460"/>
      <c r="AK267" s="1018"/>
      <c r="AL267" s="460"/>
      <c r="AM267" s="460"/>
      <c r="AN267" s="460"/>
      <c r="AO267" s="460"/>
      <c r="AP267" s="1018"/>
      <c r="AQ267" s="460"/>
      <c r="AR267" s="460"/>
      <c r="AS267" s="460"/>
      <c r="AT267" s="460"/>
      <c r="AU267" s="1018"/>
      <c r="AV267" s="460"/>
      <c r="AW267" s="460"/>
      <c r="AX267" s="460"/>
      <c r="AY267" s="460"/>
      <c r="AZ267" s="1018"/>
      <c r="BA267" s="460"/>
      <c r="BB267" s="460"/>
      <c r="BC267" s="460"/>
      <c r="BD267" s="460"/>
      <c r="BE267" s="1018"/>
      <c r="BF267" s="460"/>
      <c r="BG267" s="460"/>
      <c r="BH267" s="757"/>
      <c r="BI267" s="460"/>
      <c r="BJ267" s="1018"/>
      <c r="BK267" s="460"/>
      <c r="BL267" s="460"/>
      <c r="BM267" s="460"/>
      <c r="BN267" s="460"/>
      <c r="BO267" s="1018"/>
      <c r="BP267" s="1018"/>
      <c r="BQ267" s="1018"/>
      <c r="BR267" s="1018"/>
      <c r="BS267" s="43"/>
    </row>
    <row r="268" spans="1:71" s="181" customFormat="1" ht="15" hidden="1" outlineLevel="1">
      <c r="A268" s="826" t="s">
        <v>460</v>
      </c>
      <c r="B268" s="826"/>
      <c r="C268" s="847"/>
      <c r="D268" s="847"/>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7"/>
      <c r="AD268" s="847"/>
      <c r="AE268" s="847"/>
      <c r="AF268" s="847"/>
      <c r="AG268" s="847"/>
      <c r="AH268" s="847"/>
      <c r="AI268" s="847"/>
      <c r="AJ268" s="847"/>
      <c r="AK268" s="847"/>
      <c r="AL268" s="847"/>
      <c r="AM268" s="847"/>
      <c r="AN268" s="847"/>
      <c r="AO268" s="847"/>
      <c r="AP268" s="847"/>
      <c r="AQ268" s="847"/>
      <c r="AR268" s="847"/>
      <c r="AS268" s="847"/>
      <c r="AT268" s="847"/>
      <c r="AU268" s="847"/>
      <c r="AV268" s="847"/>
      <c r="AW268" s="847"/>
      <c r="AX268" s="847"/>
      <c r="AY268" s="847"/>
      <c r="AZ268" s="847"/>
      <c r="BA268" s="847"/>
      <c r="BB268" s="847"/>
      <c r="BC268" s="847"/>
      <c r="BD268" s="847"/>
      <c r="BE268" s="847"/>
      <c r="BF268" s="847"/>
      <c r="BG268" s="847"/>
      <c r="BH268" s="848"/>
      <c r="BI268" s="847"/>
      <c r="BJ268" s="847"/>
      <c r="BK268" s="847"/>
      <c r="BL268" s="847"/>
      <c r="BM268" s="847"/>
      <c r="BN268" s="847"/>
      <c r="BO268" s="847"/>
      <c r="BP268" s="847"/>
      <c r="BQ268" s="847"/>
      <c r="BR268" s="847"/>
      <c r="BS268" s="423"/>
    </row>
    <row r="269" spans="1:71" s="261" customFormat="1" ht="15" hidden="1" outlineLevel="1">
      <c r="A269" s="387" t="s">
        <v>461</v>
      </c>
      <c r="B269" s="468"/>
      <c r="C269" s="994"/>
      <c r="D269" s="994"/>
      <c r="E269" s="994"/>
      <c r="F269" s="994"/>
      <c r="G269" s="994"/>
      <c r="H269" s="210"/>
      <c r="I269" s="210"/>
      <c r="J269" s="210"/>
      <c r="K269" s="210"/>
      <c r="L269" s="994"/>
      <c r="M269" s="210"/>
      <c r="N269" s="210"/>
      <c r="O269" s="210"/>
      <c r="P269" s="210"/>
      <c r="Q269" s="994"/>
      <c r="R269" s="924">
        <v>325</v>
      </c>
      <c r="S269" s="924">
        <v>331</v>
      </c>
      <c r="T269" s="924">
        <v>354</v>
      </c>
      <c r="U269" s="924">
        <v>332</v>
      </c>
      <c r="V269" s="993">
        <f>SUM(R269,S269,T269,U269)</f>
        <v>1342</v>
      </c>
      <c r="W269" s="924">
        <v>330</v>
      </c>
      <c r="X269" s="924">
        <v>341</v>
      </c>
      <c r="Y269" s="924">
        <v>359</v>
      </c>
      <c r="Z269" s="924">
        <v>337</v>
      </c>
      <c r="AA269" s="993">
        <f>SUM(W269,X269,Y269,Z269)</f>
        <v>1367</v>
      </c>
      <c r="AB269" s="924">
        <v>348</v>
      </c>
      <c r="AC269" s="924">
        <v>362</v>
      </c>
      <c r="AD269" s="924">
        <v>379</v>
      </c>
      <c r="AE269" s="924">
        <v>366</v>
      </c>
      <c r="AF269" s="993">
        <f>SUM(AB269,AC269,AD269,AE269)</f>
        <v>1455</v>
      </c>
      <c r="AG269" s="924">
        <v>367</v>
      </c>
      <c r="AH269" s="924">
        <v>403</v>
      </c>
      <c r="AI269" s="924">
        <v>424</v>
      </c>
      <c r="AJ269" s="924">
        <v>411</v>
      </c>
      <c r="AK269" s="993">
        <f>SUM(AG269,AH269,AI269,AJ269)</f>
        <v>1605</v>
      </c>
      <c r="AL269" s="924">
        <v>401</v>
      </c>
      <c r="AM269" s="924">
        <v>438</v>
      </c>
      <c r="AN269" s="924">
        <v>467</v>
      </c>
      <c r="AO269" s="265">
        <f t="shared" si="600" ref="AO269:AO270">AP269-SUM(AL269,AM269,AN269)</f>
        <v>463</v>
      </c>
      <c r="AP269" s="1032">
        <v>1769</v>
      </c>
      <c r="AQ269" s="924">
        <v>444</v>
      </c>
      <c r="AR269" s="924">
        <v>497</v>
      </c>
      <c r="AS269" s="924">
        <v>532</v>
      </c>
      <c r="AT269" s="265">
        <f>AU269-SUM(AQ269,AR269,AS269)</f>
        <v>510</v>
      </c>
      <c r="AU269" s="1032">
        <v>1983</v>
      </c>
      <c r="AV269" s="924">
        <v>505</v>
      </c>
      <c r="AW269" s="924">
        <v>533</v>
      </c>
      <c r="AX269" s="924">
        <v>554</v>
      </c>
      <c r="AY269" s="265">
        <f>AZ269-SUM(AV269,AW269,AX269)</f>
        <v>520</v>
      </c>
      <c r="AZ269" s="1032">
        <v>2112</v>
      </c>
      <c r="BA269" s="924">
        <v>511</v>
      </c>
      <c r="BB269" s="924">
        <v>541</v>
      </c>
      <c r="BC269" s="924">
        <v>551</v>
      </c>
      <c r="BD269" s="265">
        <f>BE269-SUM(BA269,BB269,BC269)</f>
        <v>553</v>
      </c>
      <c r="BE269" s="1032">
        <v>2156</v>
      </c>
      <c r="BF269" s="924">
        <v>543</v>
      </c>
      <c r="BG269" s="924">
        <v>586</v>
      </c>
      <c r="BH269" s="925">
        <v>617</v>
      </c>
      <c r="BI269" s="210"/>
      <c r="BJ269" s="994"/>
      <c r="BK269" s="210"/>
      <c r="BL269" s="210"/>
      <c r="BM269" s="210"/>
      <c r="BN269" s="210"/>
      <c r="BO269" s="994"/>
      <c r="BP269" s="994"/>
      <c r="BQ269" s="994"/>
      <c r="BR269" s="994"/>
      <c r="BS269" s="265"/>
    </row>
    <row r="270" spans="1:71" s="261" customFormat="1" ht="15" hidden="1" outlineLevel="1">
      <c r="A270" s="390" t="s">
        <v>462</v>
      </c>
      <c r="B270" s="469"/>
      <c r="C270" s="996"/>
      <c r="D270" s="996"/>
      <c r="E270" s="996"/>
      <c r="F270" s="996"/>
      <c r="G270" s="996"/>
      <c r="H270" s="205"/>
      <c r="I270" s="205"/>
      <c r="J270" s="205"/>
      <c r="K270" s="205"/>
      <c r="L270" s="996"/>
      <c r="M270" s="205"/>
      <c r="N270" s="205"/>
      <c r="O270" s="205"/>
      <c r="P270" s="205"/>
      <c r="Q270" s="996"/>
      <c r="R270" s="927">
        <v>167</v>
      </c>
      <c r="S270" s="927">
        <v>205</v>
      </c>
      <c r="T270" s="927">
        <v>212</v>
      </c>
      <c r="U270" s="927">
        <v>173</v>
      </c>
      <c r="V270" s="995">
        <f>SUM(R270,S270,T270,U270)</f>
        <v>757</v>
      </c>
      <c r="W270" s="927">
        <v>174</v>
      </c>
      <c r="X270" s="927">
        <v>211</v>
      </c>
      <c r="Y270" s="927">
        <v>212</v>
      </c>
      <c r="Z270" s="927">
        <v>196</v>
      </c>
      <c r="AA270" s="995">
        <f>SUM(W270,X270,Y270,Z270)</f>
        <v>793</v>
      </c>
      <c r="AB270" s="927">
        <v>185</v>
      </c>
      <c r="AC270" s="927">
        <v>235</v>
      </c>
      <c r="AD270" s="927">
        <v>217</v>
      </c>
      <c r="AE270" s="927">
        <v>198</v>
      </c>
      <c r="AF270" s="995">
        <f>SUM(AB270,AC270,AD270,AE270)</f>
        <v>835</v>
      </c>
      <c r="AG270" s="927">
        <v>184</v>
      </c>
      <c r="AH270" s="927">
        <v>244</v>
      </c>
      <c r="AI270" s="927">
        <v>232</v>
      </c>
      <c r="AJ270" s="927">
        <v>206</v>
      </c>
      <c r="AK270" s="995">
        <f>SUM(AG270,AH270,AI270,AJ270)</f>
        <v>866</v>
      </c>
      <c r="AL270" s="927">
        <v>215</v>
      </c>
      <c r="AM270" s="927">
        <v>220</v>
      </c>
      <c r="AN270" s="927">
        <v>208</v>
      </c>
      <c r="AO270" s="186">
        <f t="shared" si="600"/>
        <v>202</v>
      </c>
      <c r="AP270" s="1033">
        <v>845</v>
      </c>
      <c r="AQ270" s="927">
        <v>200</v>
      </c>
      <c r="AR270" s="927">
        <v>232</v>
      </c>
      <c r="AS270" s="927">
        <v>241</v>
      </c>
      <c r="AT270" s="186">
        <f>AU270-SUM(AQ270,AR270,AS270)</f>
        <v>215</v>
      </c>
      <c r="AU270" s="1033">
        <v>888</v>
      </c>
      <c r="AV270" s="927">
        <v>257</v>
      </c>
      <c r="AW270" s="927">
        <v>287</v>
      </c>
      <c r="AX270" s="927">
        <v>284</v>
      </c>
      <c r="AY270" s="186">
        <f>AZ270-SUM(AV270,AW270,AX270)</f>
        <v>253</v>
      </c>
      <c r="AZ270" s="1033">
        <v>1081</v>
      </c>
      <c r="BA270" s="927">
        <v>257</v>
      </c>
      <c r="BB270" s="927">
        <v>293</v>
      </c>
      <c r="BC270" s="927">
        <v>321</v>
      </c>
      <c r="BD270" s="186">
        <f>BE270-SUM(BA270,BB270,BC270)</f>
        <v>276</v>
      </c>
      <c r="BE270" s="1033">
        <v>1147</v>
      </c>
      <c r="BF270" s="927">
        <v>296</v>
      </c>
      <c r="BG270" s="927">
        <v>325</v>
      </c>
      <c r="BH270" s="928">
        <v>344</v>
      </c>
      <c r="BI270" s="205"/>
      <c r="BJ270" s="996"/>
      <c r="BK270" s="205"/>
      <c r="BL270" s="205"/>
      <c r="BM270" s="205"/>
      <c r="BN270" s="205"/>
      <c r="BO270" s="996"/>
      <c r="BP270" s="996"/>
      <c r="BQ270" s="996"/>
      <c r="BR270" s="996"/>
      <c r="BS270" s="265"/>
    </row>
    <row r="271" spans="1:71" s="261" customFormat="1" ht="15" hidden="1" outlineLevel="1">
      <c r="A271" s="264" t="s">
        <v>463</v>
      </c>
      <c r="B271" s="468"/>
      <c r="C271" s="994"/>
      <c r="D271" s="994"/>
      <c r="E271" s="994"/>
      <c r="F271" s="994"/>
      <c r="G271" s="994"/>
      <c r="H271" s="210"/>
      <c r="I271" s="210"/>
      <c r="J271" s="210"/>
      <c r="K271" s="210"/>
      <c r="L271" s="994"/>
      <c r="M271" s="210"/>
      <c r="N271" s="210"/>
      <c r="O271" s="210"/>
      <c r="P271" s="210"/>
      <c r="Q271" s="994"/>
      <c r="R271" s="265">
        <f t="shared" si="601" ref="R271:AM271">SUM(R269:R270)</f>
        <v>492</v>
      </c>
      <c r="S271" s="265">
        <f t="shared" si="601"/>
        <v>536</v>
      </c>
      <c r="T271" s="265">
        <f t="shared" si="601"/>
        <v>566</v>
      </c>
      <c r="U271" s="265">
        <f t="shared" si="601"/>
        <v>505</v>
      </c>
      <c r="V271" s="993">
        <f t="shared" si="601"/>
        <v>2099</v>
      </c>
      <c r="W271" s="265">
        <f t="shared" si="601"/>
        <v>504</v>
      </c>
      <c r="X271" s="265">
        <f t="shared" si="601"/>
        <v>552</v>
      </c>
      <c r="Y271" s="265">
        <f t="shared" si="601"/>
        <v>571</v>
      </c>
      <c r="Z271" s="265">
        <f t="shared" si="601"/>
        <v>533</v>
      </c>
      <c r="AA271" s="993">
        <f t="shared" si="601"/>
        <v>2160</v>
      </c>
      <c r="AB271" s="265">
        <f t="shared" si="601"/>
        <v>533</v>
      </c>
      <c r="AC271" s="265">
        <f t="shared" si="601"/>
        <v>597</v>
      </c>
      <c r="AD271" s="265">
        <f t="shared" si="601"/>
        <v>596</v>
      </c>
      <c r="AE271" s="265">
        <f t="shared" si="601"/>
        <v>564</v>
      </c>
      <c r="AF271" s="993">
        <f t="shared" si="601"/>
        <v>2290</v>
      </c>
      <c r="AG271" s="265">
        <f t="shared" si="601"/>
        <v>551</v>
      </c>
      <c r="AH271" s="265">
        <f t="shared" si="601"/>
        <v>647</v>
      </c>
      <c r="AI271" s="265">
        <f t="shared" si="601"/>
        <v>656</v>
      </c>
      <c r="AJ271" s="265">
        <f t="shared" si="601"/>
        <v>617</v>
      </c>
      <c r="AK271" s="993">
        <f t="shared" si="601"/>
        <v>2471</v>
      </c>
      <c r="AL271" s="265">
        <f t="shared" si="601"/>
        <v>616</v>
      </c>
      <c r="AM271" s="265">
        <f t="shared" si="601"/>
        <v>658</v>
      </c>
      <c r="AN271" s="265">
        <f>SUM(AN269:AN270)</f>
        <v>675</v>
      </c>
      <c r="AO271" s="265">
        <f t="shared" si="602" ref="AO271:AQ271">SUM(AO269:AO270)</f>
        <v>665</v>
      </c>
      <c r="AP271" s="993">
        <f t="shared" si="602"/>
        <v>2614</v>
      </c>
      <c r="AQ271" s="265">
        <f t="shared" si="602"/>
        <v>644</v>
      </c>
      <c r="AR271" s="265">
        <f t="shared" si="603" ref="AR271:AW271">SUM(AR269:AR270)</f>
        <v>729</v>
      </c>
      <c r="AS271" s="265">
        <f t="shared" si="603"/>
        <v>773</v>
      </c>
      <c r="AT271" s="265">
        <f t="shared" si="603"/>
        <v>725</v>
      </c>
      <c r="AU271" s="993">
        <f t="shared" si="603"/>
        <v>2871</v>
      </c>
      <c r="AV271" s="265">
        <f t="shared" si="603"/>
        <v>762</v>
      </c>
      <c r="AW271" s="265">
        <f t="shared" si="603"/>
        <v>820</v>
      </c>
      <c r="AX271" s="265">
        <f t="shared" si="604" ref="AX271:BC271">SUM(AX269:AX270)</f>
        <v>838</v>
      </c>
      <c r="AY271" s="265">
        <f t="shared" si="604"/>
        <v>773</v>
      </c>
      <c r="AZ271" s="993">
        <f t="shared" si="604"/>
        <v>3193</v>
      </c>
      <c r="BA271" s="265">
        <f t="shared" si="604"/>
        <v>768</v>
      </c>
      <c r="BB271" s="265">
        <f t="shared" si="604"/>
        <v>834</v>
      </c>
      <c r="BC271" s="265">
        <f t="shared" si="604"/>
        <v>872</v>
      </c>
      <c r="BD271" s="265">
        <f>SUM(BD269:BD270)</f>
        <v>829</v>
      </c>
      <c r="BE271" s="993">
        <f>SUM(BE269:BE270)</f>
        <v>3303</v>
      </c>
      <c r="BF271" s="265">
        <f>SUM(BF269:BF270)</f>
        <v>839</v>
      </c>
      <c r="BG271" s="265">
        <f>SUM(BG269:BG270)</f>
        <v>911</v>
      </c>
      <c r="BH271" s="745">
        <f>SUM(BH269:BH270)</f>
        <v>961</v>
      </c>
      <c r="BI271" s="210"/>
      <c r="BJ271" s="994"/>
      <c r="BK271" s="210"/>
      <c r="BL271" s="210"/>
      <c r="BM271" s="210"/>
      <c r="BN271" s="210"/>
      <c r="BO271" s="994"/>
      <c r="BP271" s="994"/>
      <c r="BQ271" s="994"/>
      <c r="BR271" s="994"/>
      <c r="BS271" s="265"/>
    </row>
    <row r="272" spans="1:71" s="261" customFormat="1" ht="15" hidden="1" outlineLevel="1">
      <c r="A272" s="209" t="s">
        <v>464</v>
      </c>
      <c r="B272" s="469"/>
      <c r="C272" s="996"/>
      <c r="D272" s="996"/>
      <c r="E272" s="996"/>
      <c r="F272" s="996"/>
      <c r="G272" s="996"/>
      <c r="H272" s="205"/>
      <c r="I272" s="205"/>
      <c r="J272" s="205"/>
      <c r="K272" s="205"/>
      <c r="L272" s="996"/>
      <c r="M272" s="205"/>
      <c r="N272" s="205"/>
      <c r="O272" s="205"/>
      <c r="P272" s="205"/>
      <c r="Q272" s="996"/>
      <c r="R272" s="927">
        <v>30</v>
      </c>
      <c r="S272" s="927">
        <v>34</v>
      </c>
      <c r="T272" s="927">
        <v>34</v>
      </c>
      <c r="U272" s="927">
        <v>74</v>
      </c>
      <c r="V272" s="995">
        <f>SUM(R272,S272,T272,U272)</f>
        <v>172</v>
      </c>
      <c r="W272" s="927">
        <v>40</v>
      </c>
      <c r="X272" s="927">
        <v>46</v>
      </c>
      <c r="Y272" s="927">
        <v>40</v>
      </c>
      <c r="Z272" s="927">
        <v>73</v>
      </c>
      <c r="AA272" s="995">
        <f>SUM(W272,X272,Y272,Z272)</f>
        <v>199</v>
      </c>
      <c r="AB272" s="927">
        <v>41</v>
      </c>
      <c r="AC272" s="927">
        <v>56</v>
      </c>
      <c r="AD272" s="927">
        <v>48</v>
      </c>
      <c r="AE272" s="927">
        <v>93</v>
      </c>
      <c r="AF272" s="995">
        <f>SUM(AB272,AC272,AD272,AE272)</f>
        <v>238</v>
      </c>
      <c r="AG272" s="927">
        <v>36</v>
      </c>
      <c r="AH272" s="927">
        <v>63</v>
      </c>
      <c r="AI272" s="927">
        <v>72</v>
      </c>
      <c r="AJ272" s="927">
        <v>97</v>
      </c>
      <c r="AK272" s="995">
        <f>SUM(AG272,AH272,AI272,AJ272)</f>
        <v>268</v>
      </c>
      <c r="AL272" s="927">
        <v>47</v>
      </c>
      <c r="AM272" s="927">
        <v>76</v>
      </c>
      <c r="AN272" s="927">
        <v>79</v>
      </c>
      <c r="AO272" s="186">
        <f t="shared" si="605" ref="AO272">AP272-SUM(AL272,AM272,AN272)</f>
        <v>135</v>
      </c>
      <c r="AP272" s="1033">
        <v>337</v>
      </c>
      <c r="AQ272" s="927">
        <v>79</v>
      </c>
      <c r="AR272" s="927">
        <v>125</v>
      </c>
      <c r="AS272" s="927">
        <v>121</v>
      </c>
      <c r="AT272" s="186">
        <f>AU272-SUM(AQ272,AR272,AS272)</f>
        <v>180</v>
      </c>
      <c r="AU272" s="1033">
        <v>505</v>
      </c>
      <c r="AV272" s="927">
        <v>120</v>
      </c>
      <c r="AW272" s="927">
        <v>142</v>
      </c>
      <c r="AX272" s="927">
        <v>126</v>
      </c>
      <c r="AY272" s="186">
        <f>AZ272-SUM(AV272,AW272,AX272)</f>
        <v>151</v>
      </c>
      <c r="AZ272" s="1033">
        <v>539</v>
      </c>
      <c r="BA272" s="927">
        <v>118</v>
      </c>
      <c r="BB272" s="927">
        <v>130</v>
      </c>
      <c r="BC272" s="927">
        <v>131</v>
      </c>
      <c r="BD272" s="186">
        <f>BE272-SUM(BA272,BB272,BC272)</f>
        <v>160</v>
      </c>
      <c r="BE272" s="1033">
        <v>539</v>
      </c>
      <c r="BF272" s="927">
        <v>104</v>
      </c>
      <c r="BG272" s="927">
        <v>129</v>
      </c>
      <c r="BH272" s="928">
        <v>111</v>
      </c>
      <c r="BI272" s="205"/>
      <c r="BJ272" s="996"/>
      <c r="BK272" s="205"/>
      <c r="BL272" s="205"/>
      <c r="BM272" s="205"/>
      <c r="BN272" s="205"/>
      <c r="BO272" s="996"/>
      <c r="BP272" s="996"/>
      <c r="BQ272" s="996"/>
      <c r="BR272" s="996"/>
      <c r="BS272" s="265"/>
    </row>
    <row r="273" spans="1:71" s="45" customFormat="1" ht="15" hidden="1" outlineLevel="1">
      <c r="A273" s="197" t="s">
        <v>465</v>
      </c>
      <c r="B273" s="470"/>
      <c r="C273" s="1009"/>
      <c r="D273" s="1009"/>
      <c r="E273" s="1009"/>
      <c r="F273" s="1009"/>
      <c r="G273" s="1009"/>
      <c r="H273" s="199"/>
      <c r="I273" s="199"/>
      <c r="J273" s="199"/>
      <c r="K273" s="199"/>
      <c r="L273" s="1009"/>
      <c r="M273" s="199"/>
      <c r="N273" s="199"/>
      <c r="O273" s="199"/>
      <c r="P273" s="199"/>
      <c r="Q273" s="1009"/>
      <c r="R273" s="185">
        <f t="shared" si="606" ref="R273:AM273">SUM(R271:R272)</f>
        <v>522</v>
      </c>
      <c r="S273" s="185">
        <f t="shared" si="606"/>
        <v>570</v>
      </c>
      <c r="T273" s="185">
        <f t="shared" si="606"/>
        <v>600</v>
      </c>
      <c r="U273" s="185">
        <f t="shared" si="606"/>
        <v>579</v>
      </c>
      <c r="V273" s="1008">
        <f t="shared" si="606"/>
        <v>2271</v>
      </c>
      <c r="W273" s="185">
        <f t="shared" si="606"/>
        <v>544</v>
      </c>
      <c r="X273" s="185">
        <f t="shared" si="606"/>
        <v>598</v>
      </c>
      <c r="Y273" s="185">
        <f t="shared" si="606"/>
        <v>611</v>
      </c>
      <c r="Z273" s="185">
        <f t="shared" si="606"/>
        <v>606</v>
      </c>
      <c r="AA273" s="1008">
        <f t="shared" si="606"/>
        <v>2359</v>
      </c>
      <c r="AB273" s="185">
        <f t="shared" si="606"/>
        <v>574</v>
      </c>
      <c r="AC273" s="185">
        <f t="shared" si="606"/>
        <v>653</v>
      </c>
      <c r="AD273" s="185">
        <f t="shared" si="606"/>
        <v>644</v>
      </c>
      <c r="AE273" s="185">
        <f t="shared" si="606"/>
        <v>657</v>
      </c>
      <c r="AF273" s="1008">
        <f t="shared" si="606"/>
        <v>2528</v>
      </c>
      <c r="AG273" s="185">
        <f t="shared" si="606"/>
        <v>587</v>
      </c>
      <c r="AH273" s="185">
        <f t="shared" si="606"/>
        <v>710</v>
      </c>
      <c r="AI273" s="185">
        <f t="shared" si="606"/>
        <v>728</v>
      </c>
      <c r="AJ273" s="185">
        <f t="shared" si="606"/>
        <v>714</v>
      </c>
      <c r="AK273" s="1008">
        <f t="shared" si="606"/>
        <v>2739</v>
      </c>
      <c r="AL273" s="185">
        <f t="shared" si="606"/>
        <v>663</v>
      </c>
      <c r="AM273" s="185">
        <f t="shared" si="606"/>
        <v>734</v>
      </c>
      <c r="AN273" s="185">
        <f>SUM(AN271:AN272)</f>
        <v>754</v>
      </c>
      <c r="AO273" s="185">
        <f t="shared" si="607" ref="AO273:AQ273">SUM(AO271:AO272)</f>
        <v>800</v>
      </c>
      <c r="AP273" s="1008">
        <f t="shared" si="607"/>
        <v>2951</v>
      </c>
      <c r="AQ273" s="185">
        <f t="shared" si="607"/>
        <v>723</v>
      </c>
      <c r="AR273" s="185">
        <f t="shared" si="608" ref="AR273:AW273">SUM(AR271:AR272)</f>
        <v>854</v>
      </c>
      <c r="AS273" s="185">
        <f t="shared" si="608"/>
        <v>894</v>
      </c>
      <c r="AT273" s="185">
        <f t="shared" si="608"/>
        <v>905</v>
      </c>
      <c r="AU273" s="1008">
        <f t="shared" si="608"/>
        <v>3376</v>
      </c>
      <c r="AV273" s="185">
        <f t="shared" si="608"/>
        <v>882</v>
      </c>
      <c r="AW273" s="185">
        <f t="shared" si="608"/>
        <v>962</v>
      </c>
      <c r="AX273" s="185">
        <f t="shared" si="609" ref="AX273:BC273">SUM(AX271:AX272)</f>
        <v>964</v>
      </c>
      <c r="AY273" s="185">
        <f t="shared" si="609"/>
        <v>924</v>
      </c>
      <c r="AZ273" s="1008">
        <f t="shared" si="609"/>
        <v>3732</v>
      </c>
      <c r="BA273" s="185">
        <f t="shared" si="609"/>
        <v>886</v>
      </c>
      <c r="BB273" s="185">
        <f t="shared" si="609"/>
        <v>964</v>
      </c>
      <c r="BC273" s="185">
        <f t="shared" si="609"/>
        <v>1003</v>
      </c>
      <c r="BD273" s="185">
        <f>SUM(BD271:BD272)</f>
        <v>989</v>
      </c>
      <c r="BE273" s="1008">
        <f>SUM(BE271:BE272)</f>
        <v>3842</v>
      </c>
      <c r="BF273" s="185">
        <f>SUM(BF271:BF272)</f>
        <v>943</v>
      </c>
      <c r="BG273" s="185">
        <f>SUM(BG271:BG272)</f>
        <v>1040</v>
      </c>
      <c r="BH273" s="749">
        <f>SUM(BH271:BH272)</f>
        <v>1072</v>
      </c>
      <c r="BI273" s="199"/>
      <c r="BJ273" s="1009"/>
      <c r="BK273" s="199"/>
      <c r="BL273" s="199"/>
      <c r="BM273" s="199"/>
      <c r="BN273" s="199"/>
      <c r="BO273" s="1009"/>
      <c r="BP273" s="1009"/>
      <c r="BQ273" s="1009"/>
      <c r="BR273" s="1009"/>
      <c r="BS273" s="185"/>
    </row>
    <row r="274" spans="1:71" s="45" customFormat="1" ht="15" hidden="1" outlineLevel="1">
      <c r="A274" s="477"/>
      <c r="B274" s="470"/>
      <c r="C274" s="1009"/>
      <c r="D274" s="1009"/>
      <c r="E274" s="1009"/>
      <c r="F274" s="1009"/>
      <c r="G274" s="1009"/>
      <c r="H274" s="199"/>
      <c r="I274" s="199"/>
      <c r="J274" s="199"/>
      <c r="K274" s="199"/>
      <c r="L274" s="1009"/>
      <c r="M274" s="199"/>
      <c r="N274" s="199"/>
      <c r="O274" s="199"/>
      <c r="P274" s="199"/>
      <c r="Q274" s="1009"/>
      <c r="R274" s="199"/>
      <c r="S274" s="199"/>
      <c r="T274" s="199"/>
      <c r="U274" s="199"/>
      <c r="V274" s="1009"/>
      <c r="W274" s="199"/>
      <c r="X274" s="199"/>
      <c r="Y274" s="199"/>
      <c r="Z274" s="199"/>
      <c r="AA274" s="1009"/>
      <c r="AB274" s="199"/>
      <c r="AC274" s="199"/>
      <c r="AD274" s="199"/>
      <c r="AE274" s="199"/>
      <c r="AF274" s="1009"/>
      <c r="AG274" s="199"/>
      <c r="AH274" s="199"/>
      <c r="AI274" s="199"/>
      <c r="AJ274" s="199"/>
      <c r="AK274" s="1009"/>
      <c r="AL274" s="199"/>
      <c r="AM274" s="199"/>
      <c r="AN274" s="199"/>
      <c r="AO274" s="199"/>
      <c r="AP274" s="1009"/>
      <c r="AQ274" s="199"/>
      <c r="AR274" s="199"/>
      <c r="AS274" s="199"/>
      <c r="AT274" s="199"/>
      <c r="AU274" s="1009"/>
      <c r="AV274" s="199"/>
      <c r="AW274" s="199"/>
      <c r="AX274" s="199"/>
      <c r="AY274" s="199"/>
      <c r="AZ274" s="1009"/>
      <c r="BA274" s="199"/>
      <c r="BB274" s="199"/>
      <c r="BC274" s="199"/>
      <c r="BD274" s="199"/>
      <c r="BE274" s="1009"/>
      <c r="BF274" s="199"/>
      <c r="BG274" s="199"/>
      <c r="BH274" s="554"/>
      <c r="BI274" s="199"/>
      <c r="BJ274" s="1009"/>
      <c r="BK274" s="199"/>
      <c r="BL274" s="199"/>
      <c r="BM274" s="199"/>
      <c r="BN274" s="199"/>
      <c r="BO274" s="1009"/>
      <c r="BP274" s="1009"/>
      <c r="BQ274" s="1009"/>
      <c r="BR274" s="1009"/>
      <c r="BS274" s="185"/>
    </row>
    <row r="275" spans="1:71" s="261" customFormat="1" ht="15" hidden="1" outlineLevel="1">
      <c r="A275" s="387" t="s">
        <v>466</v>
      </c>
      <c r="B275" s="468"/>
      <c r="C275" s="1032">
        <v>1000</v>
      </c>
      <c r="D275" s="1032">
        <v>993</v>
      </c>
      <c r="E275" s="1032">
        <v>957</v>
      </c>
      <c r="F275" s="1032">
        <v>895</v>
      </c>
      <c r="G275" s="1032">
        <v>934</v>
      </c>
      <c r="H275" s="924">
        <v>211</v>
      </c>
      <c r="I275" s="924">
        <v>257</v>
      </c>
      <c r="J275" s="924">
        <v>260</v>
      </c>
      <c r="K275" s="924">
        <v>235</v>
      </c>
      <c r="L275" s="993">
        <f>SUM(H275,I275,J275,K275)</f>
        <v>963</v>
      </c>
      <c r="M275" s="924">
        <v>206</v>
      </c>
      <c r="N275" s="924">
        <v>259</v>
      </c>
      <c r="O275" s="924">
        <v>267</v>
      </c>
      <c r="P275" s="924">
        <v>220</v>
      </c>
      <c r="Q275" s="993">
        <f>SUM(M275,N275,O275,P275)</f>
        <v>952</v>
      </c>
      <c r="R275" s="924">
        <v>219</v>
      </c>
      <c r="S275" s="924">
        <v>255</v>
      </c>
      <c r="T275" s="924">
        <v>266</v>
      </c>
      <c r="U275" s="924">
        <v>221</v>
      </c>
      <c r="V275" s="993">
        <f>SUM(R275,S275,T275,U275)</f>
        <v>961</v>
      </c>
      <c r="W275" s="924">
        <v>225</v>
      </c>
      <c r="X275" s="924">
        <v>260</v>
      </c>
      <c r="Y275" s="924">
        <v>264</v>
      </c>
      <c r="Z275" s="924">
        <v>244</v>
      </c>
      <c r="AA275" s="993">
        <f>SUM(W275,X275,Y275,Z275)</f>
        <v>993</v>
      </c>
      <c r="AB275" s="924">
        <v>241</v>
      </c>
      <c r="AC275" s="924">
        <v>285</v>
      </c>
      <c r="AD275" s="924">
        <v>273</v>
      </c>
      <c r="AE275" s="924">
        <v>250</v>
      </c>
      <c r="AF275" s="993">
        <f>SUM(AB275,AC275,AD275,AE275)</f>
        <v>1049</v>
      </c>
      <c r="AG275" s="924">
        <v>239</v>
      </c>
      <c r="AH275" s="924">
        <v>298</v>
      </c>
      <c r="AI275" s="924">
        <v>292</v>
      </c>
      <c r="AJ275" s="924">
        <v>260</v>
      </c>
      <c r="AK275" s="993">
        <f>SUM(AG275,AH275,AI275,AJ275)</f>
        <v>1089</v>
      </c>
      <c r="AL275" s="924">
        <v>272</v>
      </c>
      <c r="AM275" s="924">
        <v>274</v>
      </c>
      <c r="AN275" s="924">
        <v>268</v>
      </c>
      <c r="AO275" s="265">
        <f t="shared" si="610" ref="AO275:AO277">AP275-SUM(AL275,AM275,AN275)</f>
        <v>258</v>
      </c>
      <c r="AP275" s="1032">
        <v>1072</v>
      </c>
      <c r="AQ275" s="924">
        <v>256</v>
      </c>
      <c r="AR275" s="924">
        <v>287</v>
      </c>
      <c r="AS275" s="924">
        <v>307</v>
      </c>
      <c r="AT275" s="265">
        <f>AU275-SUM(AQ275,AR275,AS275)</f>
        <v>273</v>
      </c>
      <c r="AU275" s="1032">
        <v>1123</v>
      </c>
      <c r="AV275" s="924">
        <v>320</v>
      </c>
      <c r="AW275" s="924">
        <v>346</v>
      </c>
      <c r="AX275" s="924">
        <v>350</v>
      </c>
      <c r="AY275" s="265">
        <f>AZ275-SUM(AV275,AW275,AX275)</f>
        <v>313</v>
      </c>
      <c r="AZ275" s="1032">
        <v>1329</v>
      </c>
      <c r="BA275" s="924">
        <v>318</v>
      </c>
      <c r="BB275" s="924">
        <v>350</v>
      </c>
      <c r="BC275" s="924">
        <v>385</v>
      </c>
      <c r="BD275" s="265">
        <f>BE275-SUM(BA275,BB275,BC275)</f>
        <v>334</v>
      </c>
      <c r="BE275" s="1032">
        <v>1387</v>
      </c>
      <c r="BF275" s="924">
        <v>356</v>
      </c>
      <c r="BG275" s="924">
        <v>382</v>
      </c>
      <c r="BH275" s="925">
        <v>411</v>
      </c>
      <c r="BI275" s="210"/>
      <c r="BJ275" s="994"/>
      <c r="BK275" s="210"/>
      <c r="BL275" s="210"/>
      <c r="BM275" s="210"/>
      <c r="BN275" s="210"/>
      <c r="BO275" s="994"/>
      <c r="BP275" s="994"/>
      <c r="BQ275" s="994"/>
      <c r="BR275" s="994"/>
      <c r="BS275" s="265"/>
    </row>
    <row r="276" spans="1:71" s="261" customFormat="1" ht="15" hidden="1" outlineLevel="1">
      <c r="A276" s="387" t="s">
        <v>467</v>
      </c>
      <c r="B276" s="468"/>
      <c r="C276" s="1032">
        <v>906</v>
      </c>
      <c r="D276" s="1032">
        <v>834</v>
      </c>
      <c r="E276" s="1032">
        <v>836</v>
      </c>
      <c r="F276" s="1032">
        <v>859</v>
      </c>
      <c r="G276" s="1032">
        <v>918</v>
      </c>
      <c r="H276" s="924">
        <v>223</v>
      </c>
      <c r="I276" s="924">
        <v>239</v>
      </c>
      <c r="J276" s="924">
        <v>247</v>
      </c>
      <c r="K276" s="924">
        <v>252</v>
      </c>
      <c r="L276" s="993">
        <f>SUM(H276,I276,J276,K276)</f>
        <v>961</v>
      </c>
      <c r="M276" s="924">
        <v>226</v>
      </c>
      <c r="N276" s="924">
        <v>236</v>
      </c>
      <c r="O276" s="924">
        <v>247</v>
      </c>
      <c r="P276" s="924">
        <v>243</v>
      </c>
      <c r="Q276" s="993">
        <f>SUM(M276,N276,O276,P276)</f>
        <v>952</v>
      </c>
      <c r="R276" s="924">
        <v>227</v>
      </c>
      <c r="S276" s="924">
        <v>240</v>
      </c>
      <c r="T276" s="924">
        <v>246</v>
      </c>
      <c r="U276" s="924">
        <v>241</v>
      </c>
      <c r="V276" s="993">
        <f>SUM(R276,S276,T276,U276)</f>
        <v>954</v>
      </c>
      <c r="W276" s="924">
        <v>234</v>
      </c>
      <c r="X276" s="924">
        <v>249</v>
      </c>
      <c r="Y276" s="924">
        <v>247</v>
      </c>
      <c r="Z276" s="924">
        <v>247</v>
      </c>
      <c r="AA276" s="993">
        <f>SUM(W276,X276,Y276,Z276)</f>
        <v>977</v>
      </c>
      <c r="AB276" s="924">
        <v>244</v>
      </c>
      <c r="AC276" s="924">
        <v>264</v>
      </c>
      <c r="AD276" s="924">
        <v>261</v>
      </c>
      <c r="AE276" s="924">
        <v>268</v>
      </c>
      <c r="AF276" s="993">
        <f>SUM(AB276,AC276,AD276,AE276)</f>
        <v>1037</v>
      </c>
      <c r="AG276" s="924">
        <v>262</v>
      </c>
      <c r="AH276" s="924">
        <v>292</v>
      </c>
      <c r="AI276" s="924">
        <v>293</v>
      </c>
      <c r="AJ276" s="924">
        <v>301</v>
      </c>
      <c r="AK276" s="993">
        <f>SUM(AG276,AH276,AI276,AJ276)</f>
        <v>1148</v>
      </c>
      <c r="AL276" s="924">
        <v>289</v>
      </c>
      <c r="AM276" s="924">
        <v>326</v>
      </c>
      <c r="AN276" s="924">
        <v>339</v>
      </c>
      <c r="AO276" s="265">
        <f t="shared" si="610"/>
        <v>357</v>
      </c>
      <c r="AP276" s="1032">
        <v>1311</v>
      </c>
      <c r="AQ276" s="924">
        <v>340</v>
      </c>
      <c r="AR276" s="924">
        <v>389</v>
      </c>
      <c r="AS276" s="924">
        <v>401</v>
      </c>
      <c r="AT276" s="265">
        <f>AU276-SUM(AQ276,AR276,AS276)</f>
        <v>400</v>
      </c>
      <c r="AU276" s="1032">
        <v>1530</v>
      </c>
      <c r="AV276" s="924">
        <v>389</v>
      </c>
      <c r="AW276" s="924">
        <v>419</v>
      </c>
      <c r="AX276" s="924">
        <v>424</v>
      </c>
      <c r="AY276" s="265">
        <f>AZ276-SUM(AV276,AW276,AX276)</f>
        <v>407</v>
      </c>
      <c r="AZ276" s="1032">
        <v>1639</v>
      </c>
      <c r="BA276" s="924">
        <v>399</v>
      </c>
      <c r="BB276" s="924">
        <v>425</v>
      </c>
      <c r="BC276" s="924">
        <v>419</v>
      </c>
      <c r="BD276" s="265">
        <f>BE276-SUM(BA276,BB276,BC276)</f>
        <v>443</v>
      </c>
      <c r="BE276" s="1032">
        <v>1686</v>
      </c>
      <c r="BF276" s="924">
        <v>434</v>
      </c>
      <c r="BG276" s="924">
        <v>468</v>
      </c>
      <c r="BH276" s="925">
        <v>479</v>
      </c>
      <c r="BI276" s="210"/>
      <c r="BJ276" s="994"/>
      <c r="BK276" s="210"/>
      <c r="BL276" s="210"/>
      <c r="BM276" s="210"/>
      <c r="BN276" s="210"/>
      <c r="BO276" s="994"/>
      <c r="BP276" s="994"/>
      <c r="BQ276" s="994"/>
      <c r="BR276" s="994"/>
      <c r="BS276" s="265"/>
    </row>
    <row r="277" spans="1:71" s="261" customFormat="1" ht="15" hidden="1" outlineLevel="1">
      <c r="A277" s="390" t="s">
        <v>468</v>
      </c>
      <c r="B277" s="469"/>
      <c r="C277" s="1033">
        <v>134</v>
      </c>
      <c r="D277" s="1033">
        <v>154</v>
      </c>
      <c r="E277" s="1033">
        <v>160</v>
      </c>
      <c r="F277" s="1033">
        <v>170</v>
      </c>
      <c r="G277" s="1033">
        <v>178</v>
      </c>
      <c r="H277" s="927">
        <v>48</v>
      </c>
      <c r="I277" s="927">
        <v>44</v>
      </c>
      <c r="J277" s="927">
        <v>49</v>
      </c>
      <c r="K277" s="927">
        <v>38</v>
      </c>
      <c r="L277" s="995">
        <f>SUM(H277,I277,J277,K277)</f>
        <v>179</v>
      </c>
      <c r="M277" s="927">
        <v>46</v>
      </c>
      <c r="N277" s="927">
        <v>39</v>
      </c>
      <c r="O277" s="927">
        <v>51</v>
      </c>
      <c r="P277" s="927">
        <v>41</v>
      </c>
      <c r="Q277" s="995">
        <f>SUM(M277,N277,O277,P277)</f>
        <v>177</v>
      </c>
      <c r="R277" s="927">
        <v>46</v>
      </c>
      <c r="S277" s="927">
        <v>41</v>
      </c>
      <c r="T277" s="927">
        <v>54</v>
      </c>
      <c r="U277" s="927">
        <v>43</v>
      </c>
      <c r="V277" s="995">
        <f>SUM(R277,S277,T277,U277)</f>
        <v>184</v>
      </c>
      <c r="W277" s="927">
        <v>45</v>
      </c>
      <c r="X277" s="927">
        <v>43</v>
      </c>
      <c r="Y277" s="927">
        <v>60</v>
      </c>
      <c r="Z277" s="927">
        <v>42</v>
      </c>
      <c r="AA277" s="995">
        <f>SUM(W277,X277,Y277,Z277)</f>
        <v>190</v>
      </c>
      <c r="AB277" s="927">
        <v>48</v>
      </c>
      <c r="AC277" s="927">
        <v>48</v>
      </c>
      <c r="AD277" s="927">
        <v>62</v>
      </c>
      <c r="AE277" s="927">
        <v>46</v>
      </c>
      <c r="AF277" s="995">
        <f>SUM(AB277,AC277,AD277,AE277)</f>
        <v>204</v>
      </c>
      <c r="AG277" s="927">
        <v>50</v>
      </c>
      <c r="AH277" s="927">
        <v>57</v>
      </c>
      <c r="AI277" s="927">
        <v>71</v>
      </c>
      <c r="AJ277" s="927">
        <v>56</v>
      </c>
      <c r="AK277" s="995">
        <f>SUM(AG277,AH277,AI277,AJ277)</f>
        <v>234</v>
      </c>
      <c r="AL277" s="927">
        <v>55</v>
      </c>
      <c r="AM277" s="927">
        <v>58</v>
      </c>
      <c r="AN277" s="927">
        <v>68</v>
      </c>
      <c r="AO277" s="186">
        <f t="shared" si="610"/>
        <v>50</v>
      </c>
      <c r="AP277" s="1033">
        <v>231</v>
      </c>
      <c r="AQ277" s="927">
        <v>48</v>
      </c>
      <c r="AR277" s="927">
        <v>53</v>
      </c>
      <c r="AS277" s="927">
        <v>65</v>
      </c>
      <c r="AT277" s="186">
        <f>AU277-SUM(AQ277,AR277,AS277)</f>
        <v>52</v>
      </c>
      <c r="AU277" s="1033">
        <v>218</v>
      </c>
      <c r="AV277" s="927">
        <v>53</v>
      </c>
      <c r="AW277" s="927">
        <v>55</v>
      </c>
      <c r="AX277" s="927">
        <v>64</v>
      </c>
      <c r="AY277" s="186">
        <f>AZ277-SUM(AV277,AW277,AX277)</f>
        <v>53</v>
      </c>
      <c r="AZ277" s="1033">
        <v>225</v>
      </c>
      <c r="BA277" s="927">
        <v>51</v>
      </c>
      <c r="BB277" s="927">
        <v>59</v>
      </c>
      <c r="BC277" s="927">
        <v>68</v>
      </c>
      <c r="BD277" s="186">
        <f>BE277-SUM(BA277,BB277,BC277)</f>
        <v>52</v>
      </c>
      <c r="BE277" s="1033">
        <v>230</v>
      </c>
      <c r="BF277" s="927">
        <v>49</v>
      </c>
      <c r="BG277" s="927">
        <v>61</v>
      </c>
      <c r="BH277" s="928">
        <v>71</v>
      </c>
      <c r="BI277" s="205"/>
      <c r="BJ277" s="996"/>
      <c r="BK277" s="205"/>
      <c r="BL277" s="205"/>
      <c r="BM277" s="205"/>
      <c r="BN277" s="205"/>
      <c r="BO277" s="996"/>
      <c r="BP277" s="996"/>
      <c r="BQ277" s="996"/>
      <c r="BR277" s="996"/>
      <c r="BS277" s="265"/>
    </row>
    <row r="278" spans="1:71" s="261" customFormat="1" ht="15" hidden="1" outlineLevel="1">
      <c r="A278" s="264" t="s">
        <v>463</v>
      </c>
      <c r="B278" s="468"/>
      <c r="C278" s="993">
        <f t="shared" si="611" ref="C278:AM278">SUM(C275:C277)</f>
        <v>2040</v>
      </c>
      <c r="D278" s="993">
        <f t="shared" si="611"/>
        <v>1981</v>
      </c>
      <c r="E278" s="993">
        <f t="shared" si="611"/>
        <v>1953</v>
      </c>
      <c r="F278" s="993">
        <f t="shared" si="611"/>
        <v>1924</v>
      </c>
      <c r="G278" s="993">
        <f t="shared" si="611"/>
        <v>2030</v>
      </c>
      <c r="H278" s="265">
        <f t="shared" si="611"/>
        <v>482</v>
      </c>
      <c r="I278" s="265">
        <f t="shared" si="611"/>
        <v>540</v>
      </c>
      <c r="J278" s="265">
        <f t="shared" si="611"/>
        <v>556</v>
      </c>
      <c r="K278" s="265">
        <f t="shared" si="611"/>
        <v>525</v>
      </c>
      <c r="L278" s="993">
        <f t="shared" si="611"/>
        <v>2103</v>
      </c>
      <c r="M278" s="265">
        <f t="shared" si="611"/>
        <v>478</v>
      </c>
      <c r="N278" s="265">
        <f t="shared" si="611"/>
        <v>534</v>
      </c>
      <c r="O278" s="265">
        <f t="shared" si="611"/>
        <v>565</v>
      </c>
      <c r="P278" s="265">
        <f t="shared" si="611"/>
        <v>504</v>
      </c>
      <c r="Q278" s="993">
        <f t="shared" si="611"/>
        <v>2081</v>
      </c>
      <c r="R278" s="265">
        <f t="shared" si="611"/>
        <v>492</v>
      </c>
      <c r="S278" s="265">
        <f t="shared" si="611"/>
        <v>536</v>
      </c>
      <c r="T278" s="265">
        <f t="shared" si="611"/>
        <v>566</v>
      </c>
      <c r="U278" s="265">
        <f t="shared" si="611"/>
        <v>505</v>
      </c>
      <c r="V278" s="993">
        <f t="shared" si="611"/>
        <v>2099</v>
      </c>
      <c r="W278" s="265">
        <f t="shared" si="611"/>
        <v>504</v>
      </c>
      <c r="X278" s="265">
        <f t="shared" si="611"/>
        <v>552</v>
      </c>
      <c r="Y278" s="265">
        <f t="shared" si="611"/>
        <v>571</v>
      </c>
      <c r="Z278" s="265">
        <f t="shared" si="611"/>
        <v>533</v>
      </c>
      <c r="AA278" s="993">
        <f t="shared" si="611"/>
        <v>2160</v>
      </c>
      <c r="AB278" s="265">
        <f t="shared" si="611"/>
        <v>533</v>
      </c>
      <c r="AC278" s="265">
        <f t="shared" si="611"/>
        <v>597</v>
      </c>
      <c r="AD278" s="265">
        <f t="shared" si="611"/>
        <v>596</v>
      </c>
      <c r="AE278" s="265">
        <f t="shared" si="611"/>
        <v>564</v>
      </c>
      <c r="AF278" s="993">
        <f t="shared" si="611"/>
        <v>2290</v>
      </c>
      <c r="AG278" s="265">
        <f t="shared" si="611"/>
        <v>551</v>
      </c>
      <c r="AH278" s="265">
        <f t="shared" si="611"/>
        <v>647</v>
      </c>
      <c r="AI278" s="265">
        <f t="shared" si="611"/>
        <v>656</v>
      </c>
      <c r="AJ278" s="265">
        <f t="shared" si="611"/>
        <v>617</v>
      </c>
      <c r="AK278" s="993">
        <f t="shared" si="611"/>
        <v>2471</v>
      </c>
      <c r="AL278" s="265">
        <f t="shared" si="611"/>
        <v>616</v>
      </c>
      <c r="AM278" s="265">
        <f t="shared" si="611"/>
        <v>658</v>
      </c>
      <c r="AN278" s="265">
        <f>SUM(AN275:AN277)</f>
        <v>675</v>
      </c>
      <c r="AO278" s="265">
        <f t="shared" si="612" ref="AO278:AQ278">SUM(AO275:AO277)</f>
        <v>665</v>
      </c>
      <c r="AP278" s="993">
        <f t="shared" si="612"/>
        <v>2614</v>
      </c>
      <c r="AQ278" s="265">
        <f t="shared" si="612"/>
        <v>644</v>
      </c>
      <c r="AR278" s="265">
        <f t="shared" si="613" ref="AR278:AW278">SUM(AR275:AR277)</f>
        <v>729</v>
      </c>
      <c r="AS278" s="265">
        <f t="shared" si="613"/>
        <v>773</v>
      </c>
      <c r="AT278" s="265">
        <f t="shared" si="613"/>
        <v>725</v>
      </c>
      <c r="AU278" s="993">
        <f t="shared" si="613"/>
        <v>2871</v>
      </c>
      <c r="AV278" s="265">
        <f t="shared" si="613"/>
        <v>762</v>
      </c>
      <c r="AW278" s="265">
        <f t="shared" si="613"/>
        <v>820</v>
      </c>
      <c r="AX278" s="265">
        <f t="shared" si="614" ref="AX278:BC278">SUM(AX275:AX277)</f>
        <v>838</v>
      </c>
      <c r="AY278" s="265">
        <f t="shared" si="614"/>
        <v>773</v>
      </c>
      <c r="AZ278" s="993">
        <f t="shared" si="614"/>
        <v>3193</v>
      </c>
      <c r="BA278" s="265">
        <f t="shared" si="614"/>
        <v>768</v>
      </c>
      <c r="BB278" s="265">
        <f t="shared" si="614"/>
        <v>834</v>
      </c>
      <c r="BC278" s="265">
        <f t="shared" si="614"/>
        <v>872</v>
      </c>
      <c r="BD278" s="265">
        <f>SUM(BD275:BD277)</f>
        <v>829</v>
      </c>
      <c r="BE278" s="993">
        <f>SUM(BE275:BE277)</f>
        <v>3303</v>
      </c>
      <c r="BF278" s="265">
        <f>SUM(BF275:BF277)</f>
        <v>839</v>
      </c>
      <c r="BG278" s="265">
        <f>SUM(BG275:BG277)</f>
        <v>911</v>
      </c>
      <c r="BH278" s="745">
        <f>SUM(BH275:BH277)</f>
        <v>961</v>
      </c>
      <c r="BI278" s="210"/>
      <c r="BJ278" s="994"/>
      <c r="BK278" s="210"/>
      <c r="BL278" s="210"/>
      <c r="BM278" s="210"/>
      <c r="BN278" s="210"/>
      <c r="BO278" s="994"/>
      <c r="BP278" s="994"/>
      <c r="BQ278" s="994"/>
      <c r="BR278" s="994"/>
      <c r="BS278" s="265"/>
    </row>
    <row r="279" spans="1:71" s="261" customFormat="1" ht="15" hidden="1" outlineLevel="1">
      <c r="A279" s="209" t="s">
        <v>464</v>
      </c>
      <c r="B279" s="469"/>
      <c r="C279" s="1033">
        <v>1245</v>
      </c>
      <c r="D279" s="1033">
        <v>1230</v>
      </c>
      <c r="E279" s="1033">
        <v>1149</v>
      </c>
      <c r="F279" s="1033">
        <v>1057</v>
      </c>
      <c r="G279" s="1033">
        <v>0</v>
      </c>
      <c r="H279" s="927">
        <v>0</v>
      </c>
      <c r="I279" s="927">
        <v>0</v>
      </c>
      <c r="J279" s="927">
        <v>0</v>
      </c>
      <c r="K279" s="927">
        <v>0</v>
      </c>
      <c r="L279" s="995">
        <f>SUM(H279,I279,J279,K279)</f>
        <v>0</v>
      </c>
      <c r="M279" s="927">
        <v>0</v>
      </c>
      <c r="N279" s="927">
        <v>0</v>
      </c>
      <c r="O279" s="927">
        <v>0</v>
      </c>
      <c r="P279" s="927">
        <v>0</v>
      </c>
      <c r="Q279" s="995">
        <f>SUM(M279,N279,O279,P279)</f>
        <v>0</v>
      </c>
      <c r="R279" s="927">
        <v>30</v>
      </c>
      <c r="S279" s="927">
        <v>34</v>
      </c>
      <c r="T279" s="927">
        <v>34</v>
      </c>
      <c r="U279" s="927">
        <v>74</v>
      </c>
      <c r="V279" s="995">
        <f>SUM(R279,S279,T279,U279)</f>
        <v>172</v>
      </c>
      <c r="W279" s="927">
        <v>40</v>
      </c>
      <c r="X279" s="927">
        <v>46</v>
      </c>
      <c r="Y279" s="927">
        <v>40</v>
      </c>
      <c r="Z279" s="927">
        <v>73</v>
      </c>
      <c r="AA279" s="995">
        <f>SUM(W279,X279,Y279,Z279)</f>
        <v>199</v>
      </c>
      <c r="AB279" s="927">
        <v>41</v>
      </c>
      <c r="AC279" s="927">
        <v>56</v>
      </c>
      <c r="AD279" s="927">
        <v>48</v>
      </c>
      <c r="AE279" s="927">
        <v>93</v>
      </c>
      <c r="AF279" s="995">
        <f>SUM(AB279,AC279,AD279,AE279)</f>
        <v>238</v>
      </c>
      <c r="AG279" s="927">
        <v>36</v>
      </c>
      <c r="AH279" s="927">
        <v>63</v>
      </c>
      <c r="AI279" s="927">
        <v>72</v>
      </c>
      <c r="AJ279" s="927">
        <v>97</v>
      </c>
      <c r="AK279" s="995">
        <f>SUM(AG279,AH279,AI279,AJ279)</f>
        <v>268</v>
      </c>
      <c r="AL279" s="927">
        <v>47</v>
      </c>
      <c r="AM279" s="927">
        <v>76</v>
      </c>
      <c r="AN279" s="927">
        <v>79</v>
      </c>
      <c r="AO279" s="186">
        <f t="shared" si="615" ref="AO279">AP279-SUM(AL279,AM279,AN279)</f>
        <v>135</v>
      </c>
      <c r="AP279" s="1033">
        <v>337</v>
      </c>
      <c r="AQ279" s="927">
        <v>79</v>
      </c>
      <c r="AR279" s="927">
        <v>125</v>
      </c>
      <c r="AS279" s="927">
        <v>121</v>
      </c>
      <c r="AT279" s="186">
        <f>AU279-SUM(AQ279,AR279,AS279)</f>
        <v>180</v>
      </c>
      <c r="AU279" s="1033">
        <v>505</v>
      </c>
      <c r="AV279" s="927">
        <v>120</v>
      </c>
      <c r="AW279" s="927">
        <v>142</v>
      </c>
      <c r="AX279" s="927">
        <v>126</v>
      </c>
      <c r="AY279" s="186">
        <f>AZ279-SUM(AV279,AW279,AX279)</f>
        <v>151</v>
      </c>
      <c r="AZ279" s="1033">
        <v>539</v>
      </c>
      <c r="BA279" s="927">
        <v>118</v>
      </c>
      <c r="BB279" s="927">
        <v>130</v>
      </c>
      <c r="BC279" s="927">
        <v>131</v>
      </c>
      <c r="BD279" s="186">
        <f>BE279-SUM(BA279,BB279,BC279)</f>
        <v>160</v>
      </c>
      <c r="BE279" s="1033">
        <v>539</v>
      </c>
      <c r="BF279" s="927">
        <v>104</v>
      </c>
      <c r="BG279" s="927">
        <v>129</v>
      </c>
      <c r="BH279" s="928">
        <v>111</v>
      </c>
      <c r="BI279" s="205"/>
      <c r="BJ279" s="996"/>
      <c r="BK279" s="205"/>
      <c r="BL279" s="205"/>
      <c r="BM279" s="205"/>
      <c r="BN279" s="205"/>
      <c r="BO279" s="996"/>
      <c r="BP279" s="996"/>
      <c r="BQ279" s="996"/>
      <c r="BR279" s="996"/>
      <c r="BS279" s="265"/>
    </row>
    <row r="280" spans="1:71" s="45" customFormat="1" ht="15" hidden="1" outlineLevel="1">
      <c r="A280" s="197" t="s">
        <v>465</v>
      </c>
      <c r="B280" s="470"/>
      <c r="C280" s="1008">
        <f t="shared" si="616" ref="C280:AM280">SUM(C278:C279)</f>
        <v>3285</v>
      </c>
      <c r="D280" s="1008">
        <f t="shared" si="616"/>
        <v>3211</v>
      </c>
      <c r="E280" s="1008">
        <f t="shared" si="616"/>
        <v>3102</v>
      </c>
      <c r="F280" s="1008">
        <f t="shared" si="616"/>
        <v>2981</v>
      </c>
      <c r="G280" s="1008">
        <f t="shared" si="616"/>
        <v>2030</v>
      </c>
      <c r="H280" s="185">
        <f t="shared" si="616"/>
        <v>482</v>
      </c>
      <c r="I280" s="185">
        <f t="shared" si="616"/>
        <v>540</v>
      </c>
      <c r="J280" s="185">
        <f t="shared" si="616"/>
        <v>556</v>
      </c>
      <c r="K280" s="185">
        <f t="shared" si="616"/>
        <v>525</v>
      </c>
      <c r="L280" s="1008">
        <f t="shared" si="616"/>
        <v>2103</v>
      </c>
      <c r="M280" s="185">
        <f t="shared" si="616"/>
        <v>478</v>
      </c>
      <c r="N280" s="185">
        <f t="shared" si="616"/>
        <v>534</v>
      </c>
      <c r="O280" s="185">
        <f t="shared" si="616"/>
        <v>565</v>
      </c>
      <c r="P280" s="185">
        <f t="shared" si="616"/>
        <v>504</v>
      </c>
      <c r="Q280" s="1008">
        <f t="shared" si="616"/>
        <v>2081</v>
      </c>
      <c r="R280" s="185">
        <f t="shared" si="616"/>
        <v>522</v>
      </c>
      <c r="S280" s="185">
        <f t="shared" si="616"/>
        <v>570</v>
      </c>
      <c r="T280" s="185">
        <f t="shared" si="616"/>
        <v>600</v>
      </c>
      <c r="U280" s="185">
        <f t="shared" si="616"/>
        <v>579</v>
      </c>
      <c r="V280" s="1008">
        <f t="shared" si="616"/>
        <v>2271</v>
      </c>
      <c r="W280" s="185">
        <f t="shared" si="616"/>
        <v>544</v>
      </c>
      <c r="X280" s="185">
        <f t="shared" si="616"/>
        <v>598</v>
      </c>
      <c r="Y280" s="185">
        <f t="shared" si="616"/>
        <v>611</v>
      </c>
      <c r="Z280" s="185">
        <f t="shared" si="616"/>
        <v>606</v>
      </c>
      <c r="AA280" s="1008">
        <f t="shared" si="616"/>
        <v>2359</v>
      </c>
      <c r="AB280" s="185">
        <f t="shared" si="616"/>
        <v>574</v>
      </c>
      <c r="AC280" s="185">
        <f t="shared" si="616"/>
        <v>653</v>
      </c>
      <c r="AD280" s="185">
        <f t="shared" si="616"/>
        <v>644</v>
      </c>
      <c r="AE280" s="185">
        <f t="shared" si="616"/>
        <v>657</v>
      </c>
      <c r="AF280" s="1008">
        <f t="shared" si="616"/>
        <v>2528</v>
      </c>
      <c r="AG280" s="185">
        <f t="shared" si="616"/>
        <v>587</v>
      </c>
      <c r="AH280" s="185">
        <f t="shared" si="616"/>
        <v>710</v>
      </c>
      <c r="AI280" s="185">
        <f t="shared" si="616"/>
        <v>728</v>
      </c>
      <c r="AJ280" s="185">
        <f t="shared" si="616"/>
        <v>714</v>
      </c>
      <c r="AK280" s="1008">
        <f t="shared" si="616"/>
        <v>2739</v>
      </c>
      <c r="AL280" s="185">
        <f t="shared" si="616"/>
        <v>663</v>
      </c>
      <c r="AM280" s="185">
        <f t="shared" si="616"/>
        <v>734</v>
      </c>
      <c r="AN280" s="185">
        <f>SUM(AN278:AN279)</f>
        <v>754</v>
      </c>
      <c r="AO280" s="185">
        <f t="shared" si="617" ref="AO280:AQ280">SUM(AO278:AO279)</f>
        <v>800</v>
      </c>
      <c r="AP280" s="1008">
        <f t="shared" si="617"/>
        <v>2951</v>
      </c>
      <c r="AQ280" s="185">
        <f t="shared" si="617"/>
        <v>723</v>
      </c>
      <c r="AR280" s="185">
        <f t="shared" si="618" ref="AR280:AW280">SUM(AR278:AR279)</f>
        <v>854</v>
      </c>
      <c r="AS280" s="185">
        <f t="shared" si="618"/>
        <v>894</v>
      </c>
      <c r="AT280" s="185">
        <f t="shared" si="618"/>
        <v>905</v>
      </c>
      <c r="AU280" s="1008">
        <f t="shared" si="618"/>
        <v>3376</v>
      </c>
      <c r="AV280" s="185">
        <f t="shared" si="618"/>
        <v>882</v>
      </c>
      <c r="AW280" s="185">
        <f t="shared" si="618"/>
        <v>962</v>
      </c>
      <c r="AX280" s="185">
        <f t="shared" si="619" ref="AX280:BC280">SUM(AX278:AX279)</f>
        <v>964</v>
      </c>
      <c r="AY280" s="185">
        <f t="shared" si="619"/>
        <v>924</v>
      </c>
      <c r="AZ280" s="1008">
        <f t="shared" si="619"/>
        <v>3732</v>
      </c>
      <c r="BA280" s="185">
        <f t="shared" si="619"/>
        <v>886</v>
      </c>
      <c r="BB280" s="185">
        <f t="shared" si="619"/>
        <v>964</v>
      </c>
      <c r="BC280" s="185">
        <f t="shared" si="619"/>
        <v>1003</v>
      </c>
      <c r="BD280" s="185">
        <f>SUM(BD278:BD279)</f>
        <v>989</v>
      </c>
      <c r="BE280" s="1008">
        <f>SUM(BE278:BE279)</f>
        <v>3842</v>
      </c>
      <c r="BF280" s="185">
        <f>SUM(BF278:BF279)</f>
        <v>943</v>
      </c>
      <c r="BG280" s="185">
        <f>SUM(BG278:BG279)</f>
        <v>1040</v>
      </c>
      <c r="BH280" s="749">
        <f>SUM(BH278:BH279)</f>
        <v>1072</v>
      </c>
      <c r="BI280" s="199"/>
      <c r="BJ280" s="1009"/>
      <c r="BK280" s="199"/>
      <c r="BL280" s="199"/>
      <c r="BM280" s="199"/>
      <c r="BN280" s="199"/>
      <c r="BO280" s="1009"/>
      <c r="BP280" s="1009"/>
      <c r="BQ280" s="1009"/>
      <c r="BR280" s="1009"/>
      <c r="BS280" s="185"/>
    </row>
    <row r="281" spans="1:71" s="28" customFormat="1" ht="15" collapsed="1">
      <c r="A281" s="472"/>
      <c r="B281" s="467"/>
      <c r="C281" s="1018"/>
      <c r="D281" s="1018"/>
      <c r="E281" s="1018"/>
      <c r="F281" s="1018"/>
      <c r="G281" s="1018"/>
      <c r="H281" s="460"/>
      <c r="I281" s="460"/>
      <c r="J281" s="460"/>
      <c r="K281" s="460"/>
      <c r="L281" s="1018"/>
      <c r="M281" s="460"/>
      <c r="N281" s="460"/>
      <c r="O281" s="460"/>
      <c r="P281" s="460"/>
      <c r="Q281" s="1018"/>
      <c r="R281" s="460"/>
      <c r="S281" s="460"/>
      <c r="T281" s="460"/>
      <c r="U281" s="460"/>
      <c r="V281" s="1018"/>
      <c r="W281" s="460"/>
      <c r="X281" s="460"/>
      <c r="Y281" s="460"/>
      <c r="Z281" s="460"/>
      <c r="AA281" s="1018"/>
      <c r="AB281" s="460"/>
      <c r="AC281" s="460"/>
      <c r="AD281" s="460"/>
      <c r="AE281" s="460"/>
      <c r="AF281" s="1018"/>
      <c r="AG281" s="460"/>
      <c r="AH281" s="460"/>
      <c r="AI281" s="460"/>
      <c r="AJ281" s="460"/>
      <c r="AK281" s="1018"/>
      <c r="AL281" s="460"/>
      <c r="AM281" s="460"/>
      <c r="AN281" s="460"/>
      <c r="AO281" s="460"/>
      <c r="AP281" s="1018"/>
      <c r="AQ281" s="460"/>
      <c r="AR281" s="460"/>
      <c r="AS281" s="460"/>
      <c r="AT281" s="460"/>
      <c r="AU281" s="1018"/>
      <c r="AV281" s="460"/>
      <c r="AW281" s="460"/>
      <c r="AX281" s="460"/>
      <c r="AY281" s="460"/>
      <c r="AZ281" s="1018"/>
      <c r="BA281" s="460"/>
      <c r="BB281" s="460"/>
      <c r="BC281" s="460"/>
      <c r="BD281" s="460"/>
      <c r="BE281" s="1018"/>
      <c r="BF281" s="460"/>
      <c r="BG281" s="460"/>
      <c r="BH281" s="757"/>
      <c r="BI281" s="460"/>
      <c r="BJ281" s="1018"/>
      <c r="BK281" s="460"/>
      <c r="BL281" s="460"/>
      <c r="BM281" s="460"/>
      <c r="BN281" s="460"/>
      <c r="BO281" s="1018"/>
      <c r="BP281" s="1018"/>
      <c r="BQ281" s="1018"/>
      <c r="BR281" s="1018"/>
      <c r="BS281" s="43"/>
    </row>
    <row r="282" spans="1:71" s="181" customFormat="1" ht="15">
      <c r="A282" s="826" t="s">
        <v>393</v>
      </c>
      <c r="B282" s="826"/>
      <c r="C282" s="847"/>
      <c r="D282" s="847"/>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7"/>
      <c r="AD282" s="847"/>
      <c r="AE282" s="847"/>
      <c r="AF282" s="847"/>
      <c r="AG282" s="847"/>
      <c r="AH282" s="847"/>
      <c r="AI282" s="847"/>
      <c r="AJ282" s="847"/>
      <c r="AK282" s="847"/>
      <c r="AL282" s="847"/>
      <c r="AM282" s="847"/>
      <c r="AN282" s="847"/>
      <c r="AO282" s="847"/>
      <c r="AP282" s="847"/>
      <c r="AQ282" s="847"/>
      <c r="AR282" s="847"/>
      <c r="AS282" s="847"/>
      <c r="AT282" s="847"/>
      <c r="AU282" s="847"/>
      <c r="AV282" s="847"/>
      <c r="AW282" s="847"/>
      <c r="AX282" s="847"/>
      <c r="AY282" s="847"/>
      <c r="AZ282" s="847"/>
      <c r="BA282" s="847"/>
      <c r="BB282" s="847"/>
      <c r="BC282" s="847"/>
      <c r="BD282" s="847"/>
      <c r="BE282" s="847"/>
      <c r="BF282" s="847"/>
      <c r="BG282" s="847"/>
      <c r="BH282" s="848"/>
      <c r="BI282" s="847"/>
      <c r="BJ282" s="847"/>
      <c r="BK282" s="847"/>
      <c r="BL282" s="847"/>
      <c r="BM282" s="847"/>
      <c r="BN282" s="847"/>
      <c r="BO282" s="847"/>
      <c r="BP282" s="847"/>
      <c r="BQ282" s="847"/>
      <c r="BR282" s="847"/>
      <c r="BS282" s="423"/>
    </row>
    <row r="283" spans="1:71" s="261" customFormat="1" ht="15" hidden="1" outlineLevel="1">
      <c r="A283" s="264" t="s">
        <v>415</v>
      </c>
      <c r="B283" s="468"/>
      <c r="C283" s="1032">
        <v>7117</v>
      </c>
      <c r="D283" s="1032">
        <v>7349</v>
      </c>
      <c r="E283" s="1032">
        <v>7589</v>
      </c>
      <c r="F283" s="1032">
        <v>7621</v>
      </c>
      <c r="G283" s="1032">
        <v>7324</v>
      </c>
      <c r="H283" s="924">
        <v>1762</v>
      </c>
      <c r="I283" s="924">
        <v>1773</v>
      </c>
      <c r="J283" s="924">
        <v>1796</v>
      </c>
      <c r="K283" s="924">
        <v>1794</v>
      </c>
      <c r="L283" s="1032">
        <v>7125</v>
      </c>
      <c r="M283" s="924">
        <v>1764</v>
      </c>
      <c r="N283" s="924">
        <v>1798</v>
      </c>
      <c r="O283" s="924">
        <v>1840</v>
      </c>
      <c r="P283" s="924">
        <v>1866</v>
      </c>
      <c r="Q283" s="1032">
        <v>7268</v>
      </c>
      <c r="R283" s="924">
        <v>2015</v>
      </c>
      <c r="S283" s="924">
        <v>2069</v>
      </c>
      <c r="T283" s="924">
        <v>2139</v>
      </c>
      <c r="U283" s="924">
        <v>2196</v>
      </c>
      <c r="V283" s="1032">
        <v>8419</v>
      </c>
      <c r="W283" s="924">
        <v>2199</v>
      </c>
      <c r="X283" s="924">
        <v>2272</v>
      </c>
      <c r="Y283" s="924">
        <v>2356</v>
      </c>
      <c r="Z283" s="924">
        <v>2403</v>
      </c>
      <c r="AA283" s="1032">
        <v>9230</v>
      </c>
      <c r="AB283" s="924">
        <v>2387</v>
      </c>
      <c r="AC283" s="924">
        <v>2453</v>
      </c>
      <c r="AD283" s="924">
        <v>2522</v>
      </c>
      <c r="AE283" s="924">
        <v>2555</v>
      </c>
      <c r="AF283" s="1032">
        <v>9917</v>
      </c>
      <c r="AG283" s="924">
        <v>2507</v>
      </c>
      <c r="AH283" s="924">
        <v>2573</v>
      </c>
      <c r="AI283" s="924">
        <v>2644</v>
      </c>
      <c r="AJ283" s="924">
        <v>2683</v>
      </c>
      <c r="AK283" s="1032">
        <v>10407</v>
      </c>
      <c r="AL283" s="924">
        <v>2698</v>
      </c>
      <c r="AM283" s="924">
        <v>2527</v>
      </c>
      <c r="AN283" s="924">
        <v>2816</v>
      </c>
      <c r="AO283" s="265">
        <f t="shared" si="620" ref="AO283:AO286">AP283-SUM(AL283,AM283,AN283)</f>
        <v>2886</v>
      </c>
      <c r="AP283" s="1032">
        <v>10927</v>
      </c>
      <c r="AQ283" s="924">
        <v>2844</v>
      </c>
      <c r="AR283" s="924">
        <v>2960</v>
      </c>
      <c r="AS283" s="924">
        <v>3053</v>
      </c>
      <c r="AT283" s="265">
        <f>AU283-SUM(AQ283,AR283,AS283)</f>
        <v>3126</v>
      </c>
      <c r="AU283" s="1032">
        <v>11983</v>
      </c>
      <c r="AV283" s="924">
        <v>3123</v>
      </c>
      <c r="AW283" s="924">
        <v>3248</v>
      </c>
      <c r="AX283" s="924">
        <v>3385</v>
      </c>
      <c r="AY283" s="265">
        <f>AZ283-SUM(AV283,AW283,AX283)</f>
        <v>3494</v>
      </c>
      <c r="AZ283" s="1032">
        <v>13250</v>
      </c>
      <c r="BA283" s="924">
        <v>3502</v>
      </c>
      <c r="BB283" s="924">
        <v>3661</v>
      </c>
      <c r="BC283" s="924">
        <v>3827</v>
      </c>
      <c r="BD283" s="265">
        <f>BE283-SUM(BA283,BB283,BC283)</f>
        <v>3972</v>
      </c>
      <c r="BE283" s="1032">
        <v>14962</v>
      </c>
      <c r="BF283" s="924">
        <v>4010</v>
      </c>
      <c r="BG283" s="924">
        <v>4098</v>
      </c>
      <c r="BH283" s="925">
        <v>4221</v>
      </c>
      <c r="BI283" s="210"/>
      <c r="BJ283" s="994"/>
      <c r="BK283" s="210"/>
      <c r="BL283" s="210"/>
      <c r="BM283" s="210"/>
      <c r="BN283" s="210"/>
      <c r="BO283" s="994"/>
      <c r="BP283" s="994"/>
      <c r="BQ283" s="994"/>
      <c r="BR283" s="994"/>
      <c r="BS283" s="265"/>
    </row>
    <row r="284" spans="1:71" s="261" customFormat="1" ht="15" hidden="1" outlineLevel="1">
      <c r="A284" s="264" t="s">
        <v>416</v>
      </c>
      <c r="B284" s="468"/>
      <c r="C284" s="1032">
        <v>422</v>
      </c>
      <c r="D284" s="1032">
        <v>464</v>
      </c>
      <c r="E284" s="1032">
        <v>424</v>
      </c>
      <c r="F284" s="1032">
        <v>404</v>
      </c>
      <c r="G284" s="1032">
        <v>369</v>
      </c>
      <c r="H284" s="924">
        <v>100</v>
      </c>
      <c r="I284" s="924">
        <v>94</v>
      </c>
      <c r="J284" s="924">
        <v>98</v>
      </c>
      <c r="K284" s="924">
        <v>87</v>
      </c>
      <c r="L284" s="1032">
        <v>379</v>
      </c>
      <c r="M284" s="924">
        <v>82</v>
      </c>
      <c r="N284" s="924">
        <v>88</v>
      </c>
      <c r="O284" s="924">
        <v>87</v>
      </c>
      <c r="P284" s="924">
        <v>75</v>
      </c>
      <c r="Q284" s="1032">
        <v>332</v>
      </c>
      <c r="R284" s="924">
        <v>85</v>
      </c>
      <c r="S284" s="924">
        <v>87</v>
      </c>
      <c r="T284" s="924">
        <v>92</v>
      </c>
      <c r="U284" s="924">
        <v>98</v>
      </c>
      <c r="V284" s="1032">
        <v>362</v>
      </c>
      <c r="W284" s="924">
        <v>96</v>
      </c>
      <c r="X284" s="924">
        <v>95</v>
      </c>
      <c r="Y284" s="924">
        <v>94</v>
      </c>
      <c r="Z284" s="924">
        <v>98</v>
      </c>
      <c r="AA284" s="1032">
        <v>383</v>
      </c>
      <c r="AB284" s="924">
        <v>99</v>
      </c>
      <c r="AC284" s="924">
        <v>98</v>
      </c>
      <c r="AD284" s="924">
        <v>107</v>
      </c>
      <c r="AE284" s="924">
        <v>104</v>
      </c>
      <c r="AF284" s="1032">
        <v>408</v>
      </c>
      <c r="AG284" s="924">
        <v>99</v>
      </c>
      <c r="AH284" s="924">
        <v>109</v>
      </c>
      <c r="AI284" s="924">
        <v>106</v>
      </c>
      <c r="AJ284" s="924">
        <v>105</v>
      </c>
      <c r="AK284" s="1032">
        <v>419</v>
      </c>
      <c r="AL284" s="924">
        <v>103</v>
      </c>
      <c r="AM284" s="924">
        <v>46</v>
      </c>
      <c r="AN284" s="924">
        <v>115</v>
      </c>
      <c r="AO284" s="265">
        <f t="shared" si="620"/>
        <v>117</v>
      </c>
      <c r="AP284" s="1032">
        <v>381</v>
      </c>
      <c r="AQ284" s="924">
        <v>119</v>
      </c>
      <c r="AR284" s="924">
        <v>139</v>
      </c>
      <c r="AS284" s="924">
        <v>133</v>
      </c>
      <c r="AT284" s="265">
        <f>AU284-SUM(AQ284,AR284,AS284)</f>
        <v>130</v>
      </c>
      <c r="AU284" s="1032">
        <v>521</v>
      </c>
      <c r="AV284" s="924">
        <v>110</v>
      </c>
      <c r="AW284" s="924">
        <v>122</v>
      </c>
      <c r="AX284" s="924">
        <v>102</v>
      </c>
      <c r="AY284" s="265">
        <f>AZ284-SUM(AV284,AW284,AX284)</f>
        <v>106</v>
      </c>
      <c r="AZ284" s="1032">
        <v>440</v>
      </c>
      <c r="BA284" s="924">
        <v>117</v>
      </c>
      <c r="BB284" s="924">
        <v>125</v>
      </c>
      <c r="BC284" s="924">
        <v>132</v>
      </c>
      <c r="BD284" s="265">
        <f>BE284-SUM(BA284,BB284,BC284)</f>
        <v>135</v>
      </c>
      <c r="BE284" s="1032">
        <v>509</v>
      </c>
      <c r="BF284" s="924">
        <v>147</v>
      </c>
      <c r="BG284" s="924">
        <v>159</v>
      </c>
      <c r="BH284" s="925">
        <v>161</v>
      </c>
      <c r="BI284" s="210"/>
      <c r="BJ284" s="994"/>
      <c r="BK284" s="210"/>
      <c r="BL284" s="210"/>
      <c r="BM284" s="210"/>
      <c r="BN284" s="210"/>
      <c r="BO284" s="994"/>
      <c r="BP284" s="994"/>
      <c r="BQ284" s="994"/>
      <c r="BR284" s="994"/>
      <c r="BS284" s="265"/>
    </row>
    <row r="285" spans="1:71" s="261" customFormat="1" ht="15" hidden="1" outlineLevel="1">
      <c r="A285" s="264" t="s">
        <v>417</v>
      </c>
      <c r="B285" s="468"/>
      <c r="C285" s="994"/>
      <c r="D285" s="994"/>
      <c r="E285" s="994"/>
      <c r="F285" s="994"/>
      <c r="G285" s="994"/>
      <c r="H285" s="210"/>
      <c r="I285" s="210"/>
      <c r="J285" s="210"/>
      <c r="K285" s="210"/>
      <c r="L285" s="994"/>
      <c r="M285" s="924">
        <v>3</v>
      </c>
      <c r="N285" s="924">
        <v>4</v>
      </c>
      <c r="O285" s="924">
        <v>4</v>
      </c>
      <c r="P285" s="924">
        <v>4</v>
      </c>
      <c r="Q285" s="1032">
        <v>15</v>
      </c>
      <c r="R285" s="924">
        <v>3</v>
      </c>
      <c r="S285" s="924">
        <v>4</v>
      </c>
      <c r="T285" s="924">
        <v>5</v>
      </c>
      <c r="U285" s="924">
        <v>4</v>
      </c>
      <c r="V285" s="1032">
        <v>16</v>
      </c>
      <c r="W285" s="924">
        <v>4</v>
      </c>
      <c r="X285" s="924">
        <v>4</v>
      </c>
      <c r="Y285" s="924">
        <v>5</v>
      </c>
      <c r="Z285" s="924">
        <v>4</v>
      </c>
      <c r="AA285" s="1032">
        <v>17</v>
      </c>
      <c r="AB285" s="924">
        <v>4</v>
      </c>
      <c r="AC285" s="924">
        <v>5</v>
      </c>
      <c r="AD285" s="924">
        <v>6</v>
      </c>
      <c r="AE285" s="924">
        <v>5</v>
      </c>
      <c r="AF285" s="1032">
        <v>20</v>
      </c>
      <c r="AG285" s="924">
        <v>5</v>
      </c>
      <c r="AH285" s="924">
        <v>5</v>
      </c>
      <c r="AI285" s="924">
        <v>7</v>
      </c>
      <c r="AJ285" s="924">
        <v>5</v>
      </c>
      <c r="AK285" s="1032">
        <v>22</v>
      </c>
      <c r="AL285" s="924">
        <v>6</v>
      </c>
      <c r="AM285" s="924">
        <v>6</v>
      </c>
      <c r="AN285" s="924">
        <v>6</v>
      </c>
      <c r="AO285" s="265">
        <f t="shared" si="620"/>
        <v>6</v>
      </c>
      <c r="AP285" s="1032">
        <v>24</v>
      </c>
      <c r="AQ285" s="924">
        <v>6</v>
      </c>
      <c r="AR285" s="924">
        <v>7</v>
      </c>
      <c r="AS285" s="924">
        <v>7</v>
      </c>
      <c r="AT285" s="265">
        <f>AU285-SUM(AQ285,AR285,AS285)</f>
        <v>7</v>
      </c>
      <c r="AU285" s="1032">
        <v>27</v>
      </c>
      <c r="AV285" s="924">
        <v>7</v>
      </c>
      <c r="AW285" s="924">
        <v>7</v>
      </c>
      <c r="AX285" s="924">
        <v>8</v>
      </c>
      <c r="AY285" s="265">
        <f>AZ285-SUM(AV285,AW285,AX285)</f>
        <v>8</v>
      </c>
      <c r="AZ285" s="1032">
        <v>30</v>
      </c>
      <c r="BA285" s="924">
        <v>7</v>
      </c>
      <c r="BB285" s="924">
        <v>8</v>
      </c>
      <c r="BC285" s="924">
        <v>10</v>
      </c>
      <c r="BD285" s="265">
        <f>BE285-SUM(BA285,BB285,BC285)</f>
        <v>8</v>
      </c>
      <c r="BE285" s="1032">
        <v>33</v>
      </c>
      <c r="BF285" s="924">
        <v>8</v>
      </c>
      <c r="BG285" s="924">
        <v>10</v>
      </c>
      <c r="BH285" s="925">
        <v>12</v>
      </c>
      <c r="BI285" s="210"/>
      <c r="BJ285" s="994"/>
      <c r="BK285" s="210"/>
      <c r="BL285" s="210"/>
      <c r="BM285" s="210"/>
      <c r="BN285" s="210"/>
      <c r="BO285" s="994"/>
      <c r="BP285" s="994"/>
      <c r="BQ285" s="994"/>
      <c r="BR285" s="994"/>
      <c r="BS285" s="265"/>
    </row>
    <row r="286" spans="1:71" s="261" customFormat="1" ht="15" hidden="1" outlineLevel="1">
      <c r="A286" s="209" t="s">
        <v>418</v>
      </c>
      <c r="B286" s="469"/>
      <c r="C286" s="1033">
        <v>84</v>
      </c>
      <c r="D286" s="1033">
        <v>75</v>
      </c>
      <c r="E286" s="1033">
        <v>70</v>
      </c>
      <c r="F286" s="1033">
        <v>66</v>
      </c>
      <c r="G286" s="1033">
        <v>103</v>
      </c>
      <c r="H286" s="927">
        <v>26</v>
      </c>
      <c r="I286" s="927">
        <v>17</v>
      </c>
      <c r="J286" s="927">
        <v>19</v>
      </c>
      <c r="K286" s="927">
        <v>18</v>
      </c>
      <c r="L286" s="1033">
        <v>80</v>
      </c>
      <c r="M286" s="927">
        <v>12</v>
      </c>
      <c r="N286" s="927">
        <v>12</v>
      </c>
      <c r="O286" s="927">
        <v>9</v>
      </c>
      <c r="P286" s="927">
        <v>15</v>
      </c>
      <c r="Q286" s="1033">
        <v>48</v>
      </c>
      <c r="R286" s="927">
        <v>16</v>
      </c>
      <c r="S286" s="927">
        <v>15</v>
      </c>
      <c r="T286" s="927">
        <v>16</v>
      </c>
      <c r="U286" s="927">
        <v>16</v>
      </c>
      <c r="V286" s="1033">
        <v>63</v>
      </c>
      <c r="W286" s="927">
        <v>16</v>
      </c>
      <c r="X286" s="927">
        <v>15</v>
      </c>
      <c r="Y286" s="927">
        <v>14</v>
      </c>
      <c r="Z286" s="927">
        <v>15</v>
      </c>
      <c r="AA286" s="1033">
        <v>60</v>
      </c>
      <c r="AB286" s="927">
        <v>17</v>
      </c>
      <c r="AC286" s="927">
        <v>14</v>
      </c>
      <c r="AD286" s="927">
        <v>17</v>
      </c>
      <c r="AE286" s="927">
        <v>18</v>
      </c>
      <c r="AF286" s="1033">
        <v>66</v>
      </c>
      <c r="AG286" s="927">
        <v>22</v>
      </c>
      <c r="AH286" s="927">
        <v>21</v>
      </c>
      <c r="AI286" s="927">
        <v>22</v>
      </c>
      <c r="AJ286" s="927">
        <v>22</v>
      </c>
      <c r="AK286" s="1033">
        <v>87</v>
      </c>
      <c r="AL286" s="927">
        <v>22</v>
      </c>
      <c r="AM286" s="927">
        <v>10</v>
      </c>
      <c r="AN286" s="927">
        <v>21</v>
      </c>
      <c r="AO286" s="186">
        <f t="shared" si="620"/>
        <v>23</v>
      </c>
      <c r="AP286" s="1033">
        <v>76</v>
      </c>
      <c r="AQ286" s="927">
        <v>23</v>
      </c>
      <c r="AR286" s="927">
        <v>24</v>
      </c>
      <c r="AS286" s="927">
        <v>26</v>
      </c>
      <c r="AT286" s="186">
        <f>AU286-SUM(AQ286,AR286,AS286)</f>
        <v>24</v>
      </c>
      <c r="AU286" s="1033">
        <v>97</v>
      </c>
      <c r="AV286" s="927">
        <v>21</v>
      </c>
      <c r="AW286" s="927">
        <v>18</v>
      </c>
      <c r="AX286" s="927">
        <v>22</v>
      </c>
      <c r="AY286" s="186">
        <f>AZ286-SUM(AV286,AW286,AX286)</f>
        <v>22</v>
      </c>
      <c r="AZ286" s="1033">
        <v>83</v>
      </c>
      <c r="BA286" s="927">
        <v>23</v>
      </c>
      <c r="BB286" s="927">
        <v>25</v>
      </c>
      <c r="BC286" s="927">
        <v>24</v>
      </c>
      <c r="BD286" s="186">
        <f>BE286-SUM(BA286,BB286,BC286)</f>
        <v>24</v>
      </c>
      <c r="BE286" s="1033">
        <v>96</v>
      </c>
      <c r="BF286" s="927">
        <v>26</v>
      </c>
      <c r="BG286" s="927">
        <v>22</v>
      </c>
      <c r="BH286" s="928">
        <v>24</v>
      </c>
      <c r="BI286" s="205"/>
      <c r="BJ286" s="996"/>
      <c r="BK286" s="205"/>
      <c r="BL286" s="205"/>
      <c r="BM286" s="205"/>
      <c r="BN286" s="205"/>
      <c r="BO286" s="996"/>
      <c r="BP286" s="996"/>
      <c r="BQ286" s="996"/>
      <c r="BR286" s="996"/>
      <c r="BS286" s="265"/>
    </row>
    <row r="287" spans="1:71" s="45" customFormat="1" ht="15" hidden="1" outlineLevel="1">
      <c r="A287" s="197" t="s">
        <v>419</v>
      </c>
      <c r="B287" s="470"/>
      <c r="C287" s="1008">
        <f t="shared" si="621" ref="C287:AM287">SUM(C283:C286)</f>
        <v>7623</v>
      </c>
      <c r="D287" s="1008">
        <f t="shared" si="621"/>
        <v>7888</v>
      </c>
      <c r="E287" s="1008">
        <f t="shared" si="621"/>
        <v>8083</v>
      </c>
      <c r="F287" s="1008">
        <f t="shared" si="621"/>
        <v>8091</v>
      </c>
      <c r="G287" s="1008">
        <f t="shared" si="621"/>
        <v>7796</v>
      </c>
      <c r="H287" s="185">
        <f t="shared" si="621"/>
        <v>1888</v>
      </c>
      <c r="I287" s="185">
        <f t="shared" si="621"/>
        <v>1884</v>
      </c>
      <c r="J287" s="185">
        <f t="shared" si="621"/>
        <v>1913</v>
      </c>
      <c r="K287" s="185">
        <f t="shared" si="621"/>
        <v>1899</v>
      </c>
      <c r="L287" s="1008">
        <f t="shared" si="621"/>
        <v>7584</v>
      </c>
      <c r="M287" s="185">
        <f t="shared" si="621"/>
        <v>1861</v>
      </c>
      <c r="N287" s="185">
        <f t="shared" si="621"/>
        <v>1902</v>
      </c>
      <c r="O287" s="185">
        <f t="shared" si="621"/>
        <v>1940</v>
      </c>
      <c r="P287" s="185">
        <f t="shared" si="621"/>
        <v>1960</v>
      </c>
      <c r="Q287" s="1008">
        <f t="shared" si="621"/>
        <v>7663</v>
      </c>
      <c r="R287" s="185">
        <f t="shared" si="621"/>
        <v>2119</v>
      </c>
      <c r="S287" s="185">
        <f t="shared" si="621"/>
        <v>2175</v>
      </c>
      <c r="T287" s="185">
        <f t="shared" si="621"/>
        <v>2252</v>
      </c>
      <c r="U287" s="185">
        <f t="shared" si="621"/>
        <v>2314</v>
      </c>
      <c r="V287" s="1008">
        <f t="shared" si="621"/>
        <v>8860</v>
      </c>
      <c r="W287" s="185">
        <f t="shared" si="621"/>
        <v>2315</v>
      </c>
      <c r="X287" s="185">
        <f t="shared" si="621"/>
        <v>2386</v>
      </c>
      <c r="Y287" s="185">
        <f t="shared" si="621"/>
        <v>2469</v>
      </c>
      <c r="Z287" s="185">
        <f t="shared" si="621"/>
        <v>2520</v>
      </c>
      <c r="AA287" s="1008">
        <f t="shared" si="621"/>
        <v>9690</v>
      </c>
      <c r="AB287" s="185">
        <f t="shared" si="621"/>
        <v>2507</v>
      </c>
      <c r="AC287" s="185">
        <f t="shared" si="621"/>
        <v>2570</v>
      </c>
      <c r="AD287" s="185">
        <f t="shared" si="621"/>
        <v>2652</v>
      </c>
      <c r="AE287" s="185">
        <f t="shared" si="621"/>
        <v>2682</v>
      </c>
      <c r="AF287" s="1008">
        <f t="shared" si="621"/>
        <v>10411</v>
      </c>
      <c r="AG287" s="185">
        <f t="shared" si="621"/>
        <v>2633</v>
      </c>
      <c r="AH287" s="185">
        <f t="shared" si="621"/>
        <v>2708</v>
      </c>
      <c r="AI287" s="185">
        <f t="shared" si="621"/>
        <v>2779</v>
      </c>
      <c r="AJ287" s="185">
        <f t="shared" si="621"/>
        <v>2815</v>
      </c>
      <c r="AK287" s="1008">
        <f t="shared" si="621"/>
        <v>10935</v>
      </c>
      <c r="AL287" s="185">
        <f t="shared" si="621"/>
        <v>2829</v>
      </c>
      <c r="AM287" s="185">
        <f t="shared" si="621"/>
        <v>2589</v>
      </c>
      <c r="AN287" s="185">
        <f>SUM(AN283:AN286)</f>
        <v>2958</v>
      </c>
      <c r="AO287" s="185">
        <f t="shared" si="622" ref="AO287:AQ287">SUM(AO283:AO286)</f>
        <v>3032</v>
      </c>
      <c r="AP287" s="1008">
        <f t="shared" si="622"/>
        <v>11408</v>
      </c>
      <c r="AQ287" s="185">
        <f t="shared" si="622"/>
        <v>2992</v>
      </c>
      <c r="AR287" s="185">
        <f t="shared" si="623" ref="AR287:AW287">SUM(AR283:AR286)</f>
        <v>3130</v>
      </c>
      <c r="AS287" s="185">
        <f t="shared" si="623"/>
        <v>3219</v>
      </c>
      <c r="AT287" s="185">
        <f t="shared" si="623"/>
        <v>3287</v>
      </c>
      <c r="AU287" s="1008">
        <f t="shared" si="623"/>
        <v>12628</v>
      </c>
      <c r="AV287" s="185">
        <f t="shared" si="623"/>
        <v>3261</v>
      </c>
      <c r="AW287" s="185">
        <f t="shared" si="623"/>
        <v>3395</v>
      </c>
      <c r="AX287" s="185">
        <f t="shared" si="624" ref="AX287:BC287">SUM(AX283:AX286)</f>
        <v>3517</v>
      </c>
      <c r="AY287" s="185">
        <f t="shared" si="624"/>
        <v>3630</v>
      </c>
      <c r="AZ287" s="1008">
        <f t="shared" si="624"/>
        <v>13803</v>
      </c>
      <c r="BA287" s="185">
        <f t="shared" si="624"/>
        <v>3649</v>
      </c>
      <c r="BB287" s="185">
        <f t="shared" si="624"/>
        <v>3819</v>
      </c>
      <c r="BC287" s="185">
        <f t="shared" si="624"/>
        <v>3993</v>
      </c>
      <c r="BD287" s="185">
        <f>SUM(BD283:BD286)</f>
        <v>4139</v>
      </c>
      <c r="BE287" s="1008">
        <f>SUM(BE283:BE286)</f>
        <v>15600</v>
      </c>
      <c r="BF287" s="185">
        <f>SUM(BF283:BF286)</f>
        <v>4191</v>
      </c>
      <c r="BG287" s="185">
        <f>SUM(BG283:BG286)</f>
        <v>4289</v>
      </c>
      <c r="BH287" s="749">
        <f>SUM(BH283:BH286)</f>
        <v>4418</v>
      </c>
      <c r="BI287" s="199"/>
      <c r="BJ287" s="1009"/>
      <c r="BK287" s="199"/>
      <c r="BL287" s="199"/>
      <c r="BM287" s="199"/>
      <c r="BN287" s="199"/>
      <c r="BO287" s="1009"/>
      <c r="BP287" s="1009"/>
      <c r="BQ287" s="1009"/>
      <c r="BR287" s="1009"/>
      <c r="BS287" s="185"/>
    </row>
    <row r="288" spans="1:71" s="261" customFormat="1" ht="15" hidden="1" outlineLevel="1">
      <c r="A288" s="264" t="s">
        <v>420</v>
      </c>
      <c r="B288" s="468"/>
      <c r="C288" s="1032">
        <v>4624</v>
      </c>
      <c r="D288" s="1032">
        <v>5006</v>
      </c>
      <c r="E288" s="1032">
        <v>6342</v>
      </c>
      <c r="F288" s="1032">
        <v>5505</v>
      </c>
      <c r="G288" s="1032">
        <v>4327</v>
      </c>
      <c r="H288" s="924">
        <v>979</v>
      </c>
      <c r="I288" s="924">
        <v>1261</v>
      </c>
      <c r="J288" s="924">
        <v>1008</v>
      </c>
      <c r="K288" s="924">
        <v>996</v>
      </c>
      <c r="L288" s="1032">
        <v>4244</v>
      </c>
      <c r="M288" s="924">
        <v>974</v>
      </c>
      <c r="N288" s="924">
        <v>1117</v>
      </c>
      <c r="O288" s="924">
        <v>1040</v>
      </c>
      <c r="P288" s="924">
        <v>1090</v>
      </c>
      <c r="Q288" s="1032">
        <v>4221</v>
      </c>
      <c r="R288" s="924">
        <v>1320</v>
      </c>
      <c r="S288" s="924">
        <v>1425</v>
      </c>
      <c r="T288" s="924">
        <v>1396</v>
      </c>
      <c r="U288" s="924">
        <v>1543</v>
      </c>
      <c r="V288" s="1032">
        <v>5684</v>
      </c>
      <c r="W288" s="924">
        <v>1602</v>
      </c>
      <c r="X288" s="924">
        <v>1745</v>
      </c>
      <c r="Y288" s="924">
        <v>1723</v>
      </c>
      <c r="Z288" s="924">
        <v>1977</v>
      </c>
      <c r="AA288" s="1032">
        <v>7047</v>
      </c>
      <c r="AB288" s="924">
        <v>1688</v>
      </c>
      <c r="AC288" s="924">
        <v>1903</v>
      </c>
      <c r="AD288" s="924">
        <v>1797</v>
      </c>
      <c r="AE288" s="924">
        <v>1960</v>
      </c>
      <c r="AF288" s="1032">
        <v>7348</v>
      </c>
      <c r="AG288" s="924">
        <v>1596</v>
      </c>
      <c r="AH288" s="924">
        <v>1897</v>
      </c>
      <c r="AI288" s="924">
        <v>1899</v>
      </c>
      <c r="AJ288" s="924">
        <v>1684</v>
      </c>
      <c r="AK288" s="1032">
        <v>7076</v>
      </c>
      <c r="AL288" s="924">
        <v>1671</v>
      </c>
      <c r="AM288" s="924">
        <v>1824</v>
      </c>
      <c r="AN288" s="924">
        <v>1690</v>
      </c>
      <c r="AO288" s="265">
        <f t="shared" si="625" ref="AO288:AO290">AP288-SUM(AL288,AM288,AN288)</f>
        <v>1670</v>
      </c>
      <c r="AP288" s="1032">
        <v>6855</v>
      </c>
      <c r="AQ288" s="924">
        <v>1808</v>
      </c>
      <c r="AR288" s="924">
        <v>2171</v>
      </c>
      <c r="AS288" s="924">
        <v>2386</v>
      </c>
      <c r="AT288" s="265">
        <f>AU288-SUM(AQ288,AR288,AS288)</f>
        <v>2062</v>
      </c>
      <c r="AU288" s="1032">
        <v>8427</v>
      </c>
      <c r="AV288" s="924">
        <v>2171</v>
      </c>
      <c r="AW288" s="924">
        <v>2774</v>
      </c>
      <c r="AX288" s="924">
        <v>2795</v>
      </c>
      <c r="AY288" s="265">
        <f>AZ288-SUM(AV288,AW288,AX288)</f>
        <v>2829</v>
      </c>
      <c r="AZ288" s="1032">
        <v>10569</v>
      </c>
      <c r="BA288" s="924">
        <v>2672</v>
      </c>
      <c r="BB288" s="924">
        <v>3565</v>
      </c>
      <c r="BC288" s="924">
        <v>3279</v>
      </c>
      <c r="BD288" s="265">
        <f>BE288-SUM(BA288,BB288,BC288)</f>
        <v>2518</v>
      </c>
      <c r="BE288" s="1032">
        <v>12034</v>
      </c>
      <c r="BF288" s="924">
        <v>2897</v>
      </c>
      <c r="BG288" s="924">
        <v>3429</v>
      </c>
      <c r="BH288" s="925">
        <v>2857</v>
      </c>
      <c r="BI288" s="210"/>
      <c r="BJ288" s="994"/>
      <c r="BK288" s="210"/>
      <c r="BL288" s="210"/>
      <c r="BM288" s="210"/>
      <c r="BN288" s="210"/>
      <c r="BO288" s="994"/>
      <c r="BP288" s="994"/>
      <c r="BQ288" s="994"/>
      <c r="BR288" s="994"/>
      <c r="BS288" s="265"/>
    </row>
    <row r="289" spans="1:71" s="261" customFormat="1" ht="15" hidden="1" outlineLevel="1">
      <c r="A289" s="264" t="s">
        <v>421</v>
      </c>
      <c r="B289" s="468"/>
      <c r="C289" s="1032">
        <v>1416</v>
      </c>
      <c r="D289" s="1032">
        <v>1441</v>
      </c>
      <c r="E289" s="1032">
        <v>1458</v>
      </c>
      <c r="F289" s="1032">
        <v>1437</v>
      </c>
      <c r="G289" s="1032">
        <v>1285</v>
      </c>
      <c r="H289" s="924">
        <v>292</v>
      </c>
      <c r="I289" s="924">
        <v>290</v>
      </c>
      <c r="J289" s="924">
        <v>294</v>
      </c>
      <c r="K289" s="924">
        <v>297</v>
      </c>
      <c r="L289" s="1032">
        <v>1173</v>
      </c>
      <c r="M289" s="924">
        <v>285</v>
      </c>
      <c r="N289" s="924">
        <v>288</v>
      </c>
      <c r="O289" s="924">
        <v>294</v>
      </c>
      <c r="P289" s="924">
        <v>296</v>
      </c>
      <c r="Q289" s="1032">
        <v>1163</v>
      </c>
      <c r="R289" s="924">
        <v>323</v>
      </c>
      <c r="S289" s="924">
        <v>332</v>
      </c>
      <c r="T289" s="924">
        <v>340</v>
      </c>
      <c r="U289" s="924">
        <v>348</v>
      </c>
      <c r="V289" s="1032">
        <v>1343</v>
      </c>
      <c r="W289" s="924">
        <v>346</v>
      </c>
      <c r="X289" s="924">
        <v>357</v>
      </c>
      <c r="Y289" s="924">
        <v>369</v>
      </c>
      <c r="Z289" s="924">
        <v>376</v>
      </c>
      <c r="AA289" s="1032">
        <v>1448</v>
      </c>
      <c r="AB289" s="924">
        <v>374</v>
      </c>
      <c r="AC289" s="924">
        <v>380</v>
      </c>
      <c r="AD289" s="924">
        <v>390</v>
      </c>
      <c r="AE289" s="924">
        <v>395</v>
      </c>
      <c r="AF289" s="1032">
        <v>1539</v>
      </c>
      <c r="AG289" s="924">
        <v>390</v>
      </c>
      <c r="AH289" s="924">
        <v>398</v>
      </c>
      <c r="AI289" s="924">
        <v>412</v>
      </c>
      <c r="AJ289" s="924">
        <v>420</v>
      </c>
      <c r="AK289" s="1032">
        <v>1620</v>
      </c>
      <c r="AL289" s="924">
        <v>418</v>
      </c>
      <c r="AM289" s="924">
        <v>423</v>
      </c>
      <c r="AN289" s="924">
        <v>441</v>
      </c>
      <c r="AO289" s="265">
        <f t="shared" si="625"/>
        <v>454</v>
      </c>
      <c r="AP289" s="1032">
        <v>1736</v>
      </c>
      <c r="AQ289" s="924">
        <v>446</v>
      </c>
      <c r="AR289" s="924">
        <v>470</v>
      </c>
      <c r="AS289" s="924">
        <v>481</v>
      </c>
      <c r="AT289" s="265">
        <f>AU289-SUM(AQ289,AR289,AS289)</f>
        <v>495</v>
      </c>
      <c r="AU289" s="1032">
        <v>1892</v>
      </c>
      <c r="AV289" s="924">
        <v>493</v>
      </c>
      <c r="AW289" s="924">
        <v>519</v>
      </c>
      <c r="AX289" s="924">
        <v>536</v>
      </c>
      <c r="AY289" s="265">
        <f>AZ289-SUM(AV289,AW289,AX289)</f>
        <v>554</v>
      </c>
      <c r="AZ289" s="1032">
        <v>2102</v>
      </c>
      <c r="BA289" s="924">
        <v>560</v>
      </c>
      <c r="BB289" s="924">
        <v>578</v>
      </c>
      <c r="BC289" s="924">
        <v>611</v>
      </c>
      <c r="BD289" s="265">
        <f>BE289-SUM(BA289,BB289,BC289)</f>
        <v>631</v>
      </c>
      <c r="BE289" s="1032">
        <v>2380</v>
      </c>
      <c r="BF289" s="924">
        <v>652</v>
      </c>
      <c r="BG289" s="924">
        <v>634</v>
      </c>
      <c r="BH289" s="925">
        <v>666</v>
      </c>
      <c r="BI289" s="210"/>
      <c r="BJ289" s="994"/>
      <c r="BK289" s="210"/>
      <c r="BL289" s="210"/>
      <c r="BM289" s="210"/>
      <c r="BN289" s="210"/>
      <c r="BO289" s="994"/>
      <c r="BP289" s="994"/>
      <c r="BQ289" s="994"/>
      <c r="BR289" s="994"/>
      <c r="BS289" s="265"/>
    </row>
    <row r="290" spans="1:71" s="261" customFormat="1" ht="15" hidden="1" outlineLevel="1">
      <c r="A290" s="209" t="s">
        <v>422</v>
      </c>
      <c r="B290" s="469"/>
      <c r="C290" s="1033">
        <v>784</v>
      </c>
      <c r="D290" s="1033">
        <v>867</v>
      </c>
      <c r="E290" s="1033">
        <v>908</v>
      </c>
      <c r="F290" s="1033">
        <v>900</v>
      </c>
      <c r="G290" s="1033">
        <v>980</v>
      </c>
      <c r="H290" s="927">
        <v>223</v>
      </c>
      <c r="I290" s="927">
        <v>237</v>
      </c>
      <c r="J290" s="927">
        <v>263</v>
      </c>
      <c r="K290" s="927">
        <v>254</v>
      </c>
      <c r="L290" s="1033">
        <v>977</v>
      </c>
      <c r="M290" s="927">
        <v>234</v>
      </c>
      <c r="N290" s="927">
        <v>252</v>
      </c>
      <c r="O290" s="927">
        <v>252</v>
      </c>
      <c r="P290" s="927">
        <v>250</v>
      </c>
      <c r="Q290" s="1033">
        <v>988</v>
      </c>
      <c r="R290" s="927">
        <v>265</v>
      </c>
      <c r="S290" s="927">
        <v>289</v>
      </c>
      <c r="T290" s="927">
        <v>287</v>
      </c>
      <c r="U290" s="927">
        <v>283</v>
      </c>
      <c r="V290" s="1033">
        <v>1124</v>
      </c>
      <c r="W290" s="927">
        <v>265</v>
      </c>
      <c r="X290" s="927">
        <v>285</v>
      </c>
      <c r="Y290" s="927">
        <v>280</v>
      </c>
      <c r="Z290" s="927">
        <v>281</v>
      </c>
      <c r="AA290" s="1033">
        <v>1111</v>
      </c>
      <c r="AB290" s="927">
        <v>288</v>
      </c>
      <c r="AC290" s="927">
        <v>316</v>
      </c>
      <c r="AD290" s="927">
        <v>290</v>
      </c>
      <c r="AE290" s="927">
        <v>291</v>
      </c>
      <c r="AF290" s="1033">
        <v>1185</v>
      </c>
      <c r="AG290" s="927">
        <v>300</v>
      </c>
      <c r="AH290" s="927">
        <v>311</v>
      </c>
      <c r="AI290" s="927">
        <v>309</v>
      </c>
      <c r="AJ290" s="927">
        <v>300</v>
      </c>
      <c r="AK290" s="1033">
        <v>1220</v>
      </c>
      <c r="AL290" s="927">
        <v>320</v>
      </c>
      <c r="AM290" s="927">
        <v>333</v>
      </c>
      <c r="AN290" s="927">
        <v>328</v>
      </c>
      <c r="AO290" s="186">
        <f t="shared" si="625"/>
        <v>333</v>
      </c>
      <c r="AP290" s="1033">
        <v>1314</v>
      </c>
      <c r="AQ290" s="927">
        <v>344</v>
      </c>
      <c r="AR290" s="927">
        <v>343</v>
      </c>
      <c r="AS290" s="927">
        <v>360</v>
      </c>
      <c r="AT290" s="186">
        <f>AU290-SUM(AQ290,AR290,AS290)</f>
        <v>323</v>
      </c>
      <c r="AU290" s="1033">
        <v>1370</v>
      </c>
      <c r="AV290" s="927">
        <v>345</v>
      </c>
      <c r="AW290" s="927">
        <v>352</v>
      </c>
      <c r="AX290" s="927">
        <v>333</v>
      </c>
      <c r="AY290" s="186">
        <f>AZ290-SUM(AV290,AW290,AX290)</f>
        <v>332</v>
      </c>
      <c r="AZ290" s="1033">
        <v>1362</v>
      </c>
      <c r="BA290" s="927">
        <v>359</v>
      </c>
      <c r="BB290" s="927">
        <v>361</v>
      </c>
      <c r="BC290" s="927">
        <v>359</v>
      </c>
      <c r="BD290" s="186">
        <f>BE290-SUM(BA290,BB290,BC290)</f>
        <v>338</v>
      </c>
      <c r="BE290" s="1033">
        <v>1417</v>
      </c>
      <c r="BF290" s="927">
        <v>375</v>
      </c>
      <c r="BG290" s="927">
        <v>424</v>
      </c>
      <c r="BH290" s="928">
        <v>420</v>
      </c>
      <c r="BI290" s="205"/>
      <c r="BJ290" s="996"/>
      <c r="BK290" s="205"/>
      <c r="BL290" s="205"/>
      <c r="BM290" s="205"/>
      <c r="BN290" s="205"/>
      <c r="BO290" s="996"/>
      <c r="BP290" s="996"/>
      <c r="BQ290" s="996"/>
      <c r="BR290" s="996"/>
      <c r="BS290" s="265"/>
    </row>
    <row r="291" spans="1:71" s="45" customFormat="1" ht="15" hidden="1" outlineLevel="1">
      <c r="A291" s="197" t="s">
        <v>423</v>
      </c>
      <c r="B291" s="470"/>
      <c r="C291" s="1008">
        <f t="shared" si="626" ref="C291:AM291">SUM(C288:C290)</f>
        <v>6824</v>
      </c>
      <c r="D291" s="1008">
        <f t="shared" si="626"/>
        <v>7314</v>
      </c>
      <c r="E291" s="1008">
        <f t="shared" si="626"/>
        <v>8708</v>
      </c>
      <c r="F291" s="1008">
        <f t="shared" si="626"/>
        <v>7842</v>
      </c>
      <c r="G291" s="1008">
        <f t="shared" si="626"/>
        <v>6592</v>
      </c>
      <c r="H291" s="185">
        <f t="shared" si="626"/>
        <v>1494</v>
      </c>
      <c r="I291" s="185">
        <f t="shared" si="626"/>
        <v>1788</v>
      </c>
      <c r="J291" s="185">
        <f t="shared" si="626"/>
        <v>1565</v>
      </c>
      <c r="K291" s="185">
        <f t="shared" si="626"/>
        <v>1547</v>
      </c>
      <c r="L291" s="1008">
        <f t="shared" si="626"/>
        <v>6394</v>
      </c>
      <c r="M291" s="185">
        <f t="shared" si="626"/>
        <v>1493</v>
      </c>
      <c r="N291" s="185">
        <f t="shared" si="626"/>
        <v>1657</v>
      </c>
      <c r="O291" s="185">
        <f t="shared" si="626"/>
        <v>1586</v>
      </c>
      <c r="P291" s="185">
        <f t="shared" si="626"/>
        <v>1636</v>
      </c>
      <c r="Q291" s="1008">
        <f t="shared" si="626"/>
        <v>6372</v>
      </c>
      <c r="R291" s="185">
        <f t="shared" si="626"/>
        <v>1908</v>
      </c>
      <c r="S291" s="185">
        <f t="shared" si="626"/>
        <v>2046</v>
      </c>
      <c r="T291" s="185">
        <f t="shared" si="626"/>
        <v>2023</v>
      </c>
      <c r="U291" s="185">
        <f t="shared" si="626"/>
        <v>2174</v>
      </c>
      <c r="V291" s="1008">
        <f t="shared" si="626"/>
        <v>8151</v>
      </c>
      <c r="W291" s="185">
        <f t="shared" si="626"/>
        <v>2213</v>
      </c>
      <c r="X291" s="185">
        <f t="shared" si="626"/>
        <v>2387</v>
      </c>
      <c r="Y291" s="185">
        <f t="shared" si="626"/>
        <v>2372</v>
      </c>
      <c r="Z291" s="185">
        <f t="shared" si="626"/>
        <v>2634</v>
      </c>
      <c r="AA291" s="1008">
        <f t="shared" si="626"/>
        <v>9606</v>
      </c>
      <c r="AB291" s="185">
        <f t="shared" si="626"/>
        <v>2350</v>
      </c>
      <c r="AC291" s="185">
        <f t="shared" si="626"/>
        <v>2599</v>
      </c>
      <c r="AD291" s="185">
        <f t="shared" si="626"/>
        <v>2477</v>
      </c>
      <c r="AE291" s="185">
        <f t="shared" si="626"/>
        <v>2646</v>
      </c>
      <c r="AF291" s="1008">
        <f t="shared" si="626"/>
        <v>10072</v>
      </c>
      <c r="AG291" s="185">
        <f t="shared" si="626"/>
        <v>2286</v>
      </c>
      <c r="AH291" s="185">
        <f t="shared" si="626"/>
        <v>2606</v>
      </c>
      <c r="AI291" s="185">
        <f t="shared" si="626"/>
        <v>2620</v>
      </c>
      <c r="AJ291" s="185">
        <f t="shared" si="626"/>
        <v>2404</v>
      </c>
      <c r="AK291" s="1008">
        <f t="shared" si="626"/>
        <v>9916</v>
      </c>
      <c r="AL291" s="185">
        <f t="shared" si="626"/>
        <v>2409</v>
      </c>
      <c r="AM291" s="185">
        <f t="shared" si="626"/>
        <v>2580</v>
      </c>
      <c r="AN291" s="185">
        <f>SUM(AN288:AN290)</f>
        <v>2459</v>
      </c>
      <c r="AO291" s="185">
        <f t="shared" si="627" ref="AO291:AQ291">SUM(AO288:AO290)</f>
        <v>2457</v>
      </c>
      <c r="AP291" s="1008">
        <f t="shared" si="627"/>
        <v>9905</v>
      </c>
      <c r="AQ291" s="185">
        <f t="shared" si="627"/>
        <v>2598</v>
      </c>
      <c r="AR291" s="185">
        <f t="shared" si="628" ref="AR291:AW291">SUM(AR288:AR290)</f>
        <v>2984</v>
      </c>
      <c r="AS291" s="185">
        <f t="shared" si="628"/>
        <v>3227</v>
      </c>
      <c r="AT291" s="185">
        <f t="shared" si="628"/>
        <v>2880</v>
      </c>
      <c r="AU291" s="1008">
        <f t="shared" si="628"/>
        <v>11689</v>
      </c>
      <c r="AV291" s="185">
        <f t="shared" si="628"/>
        <v>3009</v>
      </c>
      <c r="AW291" s="185">
        <f t="shared" si="628"/>
        <v>3645</v>
      </c>
      <c r="AX291" s="185">
        <f t="shared" si="629" ref="AX291:BC291">SUM(AX288:AX290)</f>
        <v>3664</v>
      </c>
      <c r="AY291" s="185">
        <f t="shared" si="629"/>
        <v>3715</v>
      </c>
      <c r="AZ291" s="1008">
        <f t="shared" si="629"/>
        <v>14033</v>
      </c>
      <c r="BA291" s="185">
        <f t="shared" si="629"/>
        <v>3591</v>
      </c>
      <c r="BB291" s="185">
        <f t="shared" si="629"/>
        <v>4504</v>
      </c>
      <c r="BC291" s="185">
        <f t="shared" si="629"/>
        <v>4249</v>
      </c>
      <c r="BD291" s="185">
        <f>SUM(BD288:BD290)</f>
        <v>3487</v>
      </c>
      <c r="BE291" s="1008">
        <f>SUM(BE288:BE290)</f>
        <v>15831</v>
      </c>
      <c r="BF291" s="185">
        <f>SUM(BF288:BF290)</f>
        <v>3924</v>
      </c>
      <c r="BG291" s="185">
        <f>SUM(BG288:BG290)</f>
        <v>4487</v>
      </c>
      <c r="BH291" s="749">
        <f>SUM(BH288:BH290)</f>
        <v>3943</v>
      </c>
      <c r="BI291" s="199"/>
      <c r="BJ291" s="1009"/>
      <c r="BK291" s="199"/>
      <c r="BL291" s="199"/>
      <c r="BM291" s="199"/>
      <c r="BN291" s="199"/>
      <c r="BO291" s="1009"/>
      <c r="BP291" s="1009"/>
      <c r="BQ291" s="1009"/>
      <c r="BR291" s="1009"/>
      <c r="BS291" s="185"/>
    </row>
    <row r="292" spans="1:71" s="45" customFormat="1" ht="15" hidden="1" outlineLevel="1">
      <c r="A292" s="197" t="s">
        <v>424</v>
      </c>
      <c r="B292" s="470"/>
      <c r="C292" s="1008">
        <f t="shared" si="630" ref="C292:AM292">C287-C291</f>
        <v>799</v>
      </c>
      <c r="D292" s="1008">
        <f t="shared" si="630"/>
        <v>574</v>
      </c>
      <c r="E292" s="1008">
        <f t="shared" si="630"/>
        <v>-625</v>
      </c>
      <c r="F292" s="1008">
        <f t="shared" si="630"/>
        <v>249</v>
      </c>
      <c r="G292" s="1008">
        <f t="shared" si="630"/>
        <v>1204</v>
      </c>
      <c r="H292" s="185">
        <f t="shared" si="630"/>
        <v>394</v>
      </c>
      <c r="I292" s="185">
        <f t="shared" si="630"/>
        <v>96</v>
      </c>
      <c r="J292" s="185">
        <f t="shared" si="630"/>
        <v>348</v>
      </c>
      <c r="K292" s="185">
        <f t="shared" si="630"/>
        <v>352</v>
      </c>
      <c r="L292" s="1008">
        <f t="shared" si="630"/>
        <v>1190</v>
      </c>
      <c r="M292" s="185">
        <f t="shared" si="630"/>
        <v>368</v>
      </c>
      <c r="N292" s="185">
        <f t="shared" si="630"/>
        <v>245</v>
      </c>
      <c r="O292" s="185">
        <f t="shared" si="630"/>
        <v>354</v>
      </c>
      <c r="P292" s="185">
        <f t="shared" si="630"/>
        <v>324</v>
      </c>
      <c r="Q292" s="1008">
        <f t="shared" si="630"/>
        <v>1291</v>
      </c>
      <c r="R292" s="185">
        <f t="shared" si="630"/>
        <v>211</v>
      </c>
      <c r="S292" s="185">
        <f t="shared" si="630"/>
        <v>129</v>
      </c>
      <c r="T292" s="185">
        <f t="shared" si="630"/>
        <v>229</v>
      </c>
      <c r="U292" s="185">
        <f t="shared" si="630"/>
        <v>140</v>
      </c>
      <c r="V292" s="1008">
        <f t="shared" si="630"/>
        <v>709</v>
      </c>
      <c r="W292" s="185">
        <f t="shared" si="630"/>
        <v>102</v>
      </c>
      <c r="X292" s="185">
        <f t="shared" si="630"/>
        <v>-1</v>
      </c>
      <c r="Y292" s="185">
        <f t="shared" si="630"/>
        <v>97</v>
      </c>
      <c r="Z292" s="185">
        <f t="shared" si="630"/>
        <v>-114</v>
      </c>
      <c r="AA292" s="1008">
        <f t="shared" si="630"/>
        <v>84</v>
      </c>
      <c r="AB292" s="185">
        <f t="shared" si="630"/>
        <v>157</v>
      </c>
      <c r="AC292" s="185">
        <f t="shared" si="630"/>
        <v>-29</v>
      </c>
      <c r="AD292" s="185">
        <f t="shared" si="630"/>
        <v>175</v>
      </c>
      <c r="AE292" s="185">
        <f t="shared" si="630"/>
        <v>36</v>
      </c>
      <c r="AF292" s="1008">
        <f t="shared" si="630"/>
        <v>339</v>
      </c>
      <c r="AG292" s="185">
        <f t="shared" si="630"/>
        <v>347</v>
      </c>
      <c r="AH292" s="185">
        <f t="shared" si="630"/>
        <v>102</v>
      </c>
      <c r="AI292" s="185">
        <f t="shared" si="630"/>
        <v>159</v>
      </c>
      <c r="AJ292" s="185">
        <f t="shared" si="630"/>
        <v>411</v>
      </c>
      <c r="AK292" s="1008">
        <f t="shared" si="630"/>
        <v>1019</v>
      </c>
      <c r="AL292" s="185">
        <f t="shared" si="630"/>
        <v>420</v>
      </c>
      <c r="AM292" s="185">
        <f t="shared" si="630"/>
        <v>9</v>
      </c>
      <c r="AN292" s="185">
        <f>AN287-AN291</f>
        <v>499</v>
      </c>
      <c r="AO292" s="185">
        <f t="shared" si="631" ref="AO292:AQ292">AO287-AO291</f>
        <v>575</v>
      </c>
      <c r="AP292" s="1008">
        <f t="shared" si="631"/>
        <v>1503</v>
      </c>
      <c r="AQ292" s="185">
        <f t="shared" si="631"/>
        <v>394</v>
      </c>
      <c r="AR292" s="185">
        <f t="shared" si="632" ref="AR292:AW292">AR287-AR291</f>
        <v>146</v>
      </c>
      <c r="AS292" s="185">
        <f t="shared" si="632"/>
        <v>-8</v>
      </c>
      <c r="AT292" s="185">
        <f t="shared" si="632"/>
        <v>407</v>
      </c>
      <c r="AU292" s="1008">
        <f t="shared" si="632"/>
        <v>939</v>
      </c>
      <c r="AV292" s="185">
        <f t="shared" si="632"/>
        <v>252</v>
      </c>
      <c r="AW292" s="185">
        <f t="shared" si="632"/>
        <v>-250</v>
      </c>
      <c r="AX292" s="185">
        <f t="shared" si="633" ref="AX292:BC292">AX287-AX291</f>
        <v>-147</v>
      </c>
      <c r="AY292" s="185">
        <f t="shared" si="633"/>
        <v>-85</v>
      </c>
      <c r="AZ292" s="1008">
        <f t="shared" si="633"/>
        <v>-230</v>
      </c>
      <c r="BA292" s="185">
        <f t="shared" si="633"/>
        <v>58</v>
      </c>
      <c r="BB292" s="185">
        <f t="shared" si="633"/>
        <v>-685</v>
      </c>
      <c r="BC292" s="185">
        <f t="shared" si="633"/>
        <v>-256</v>
      </c>
      <c r="BD292" s="185">
        <f>BD287-BD291</f>
        <v>652</v>
      </c>
      <c r="BE292" s="1008">
        <f>BE287-BE291</f>
        <v>-231</v>
      </c>
      <c r="BF292" s="185">
        <f>BF287-BF291</f>
        <v>267</v>
      </c>
      <c r="BG292" s="185">
        <f>BG287-BG291</f>
        <v>-198</v>
      </c>
      <c r="BH292" s="749">
        <f>BH287-BH291</f>
        <v>475</v>
      </c>
      <c r="BI292" s="199"/>
      <c r="BJ292" s="1009"/>
      <c r="BK292" s="199"/>
      <c r="BL292" s="199"/>
      <c r="BM292" s="199"/>
      <c r="BN292" s="199"/>
      <c r="BO292" s="1009"/>
      <c r="BP292" s="1009"/>
      <c r="BQ292" s="1009"/>
      <c r="BR292" s="1009"/>
      <c r="BS292" s="185"/>
    </row>
    <row r="293" spans="1:71" s="261" customFormat="1" ht="15" hidden="1" outlineLevel="1">
      <c r="A293" s="209" t="s">
        <v>425</v>
      </c>
      <c r="B293" s="469"/>
      <c r="C293" s="1033">
        <v>198</v>
      </c>
      <c r="D293" s="1033">
        <v>134</v>
      </c>
      <c r="E293" s="1033">
        <v>-293</v>
      </c>
      <c r="F293" s="1033">
        <v>32</v>
      </c>
      <c r="G293" s="1033">
        <v>366</v>
      </c>
      <c r="H293" s="927">
        <v>126</v>
      </c>
      <c r="I293" s="927">
        <v>21</v>
      </c>
      <c r="J293" s="927">
        <v>109</v>
      </c>
      <c r="K293" s="927">
        <v>110</v>
      </c>
      <c r="L293" s="1033">
        <v>366</v>
      </c>
      <c r="M293" s="927">
        <v>116</v>
      </c>
      <c r="N293" s="927">
        <v>71</v>
      </c>
      <c r="O293" s="927">
        <v>113</v>
      </c>
      <c r="P293" s="927">
        <v>102</v>
      </c>
      <c r="Q293" s="1033">
        <v>402</v>
      </c>
      <c r="R293" s="927">
        <v>59</v>
      </c>
      <c r="S293" s="927">
        <v>34</v>
      </c>
      <c r="T293" s="927">
        <v>66</v>
      </c>
      <c r="U293" s="927">
        <v>33</v>
      </c>
      <c r="V293" s="1033">
        <v>192</v>
      </c>
      <c r="W293" s="927">
        <v>13</v>
      </c>
      <c r="X293" s="927">
        <v>-13</v>
      </c>
      <c r="Y293" s="927">
        <v>20</v>
      </c>
      <c r="Z293" s="927">
        <v>-64</v>
      </c>
      <c r="AA293" s="1033">
        <v>-44</v>
      </c>
      <c r="AB293" s="927">
        <v>28</v>
      </c>
      <c r="AC293" s="927">
        <v>-12</v>
      </c>
      <c r="AD293" s="927">
        <v>22</v>
      </c>
      <c r="AE293" s="927">
        <v>4</v>
      </c>
      <c r="AF293" s="1033">
        <v>42</v>
      </c>
      <c r="AG293" s="927">
        <v>69</v>
      </c>
      <c r="AH293" s="927">
        <v>14</v>
      </c>
      <c r="AI293" s="927">
        <v>28</v>
      </c>
      <c r="AJ293" s="927">
        <v>84</v>
      </c>
      <c r="AK293" s="1033">
        <v>195</v>
      </c>
      <c r="AL293" s="927">
        <v>84</v>
      </c>
      <c r="AM293" s="927">
        <v>-1</v>
      </c>
      <c r="AN293" s="927">
        <v>107</v>
      </c>
      <c r="AO293" s="186">
        <f t="shared" si="634" ref="AO293">AP293-SUM(AL293,AM293,AN293)</f>
        <v>118</v>
      </c>
      <c r="AP293" s="1033">
        <v>308</v>
      </c>
      <c r="AQ293" s="927">
        <v>80</v>
      </c>
      <c r="AR293" s="927">
        <v>25</v>
      </c>
      <c r="AS293" s="927">
        <v>-6</v>
      </c>
      <c r="AT293" s="186">
        <f>AU293-SUM(AQ293,AR293,AS293)</f>
        <v>80</v>
      </c>
      <c r="AU293" s="1033">
        <v>179</v>
      </c>
      <c r="AV293" s="927">
        <v>27</v>
      </c>
      <c r="AW293" s="927">
        <v>-57</v>
      </c>
      <c r="AX293" s="927">
        <v>-36</v>
      </c>
      <c r="AY293" s="186">
        <f>AZ293-SUM(AV293,AW293,AX293)</f>
        <v>-24</v>
      </c>
      <c r="AZ293" s="1033">
        <v>-90</v>
      </c>
      <c r="BA293" s="927">
        <v>-25</v>
      </c>
      <c r="BB293" s="927">
        <v>-147</v>
      </c>
      <c r="BC293" s="927">
        <v>-63</v>
      </c>
      <c r="BD293" s="186">
        <f>BE293-SUM(BA293,BB293,BC293)</f>
        <v>132</v>
      </c>
      <c r="BE293" s="1033">
        <v>-103</v>
      </c>
      <c r="BF293" s="927">
        <v>47</v>
      </c>
      <c r="BG293" s="927">
        <v>-45</v>
      </c>
      <c r="BH293" s="928">
        <v>91</v>
      </c>
      <c r="BI293" s="205"/>
      <c r="BJ293" s="996"/>
      <c r="BK293" s="205"/>
      <c r="BL293" s="205"/>
      <c r="BM293" s="205"/>
      <c r="BN293" s="205"/>
      <c r="BO293" s="996"/>
      <c r="BP293" s="996"/>
      <c r="BQ293" s="996"/>
      <c r="BR293" s="996"/>
      <c r="BS293" s="265"/>
    </row>
    <row r="294" spans="1:71" s="45" customFormat="1" ht="15" hidden="1" outlineLevel="1">
      <c r="A294" s="197" t="s">
        <v>426</v>
      </c>
      <c r="B294" s="470"/>
      <c r="C294" s="1008">
        <f t="shared" si="635" ref="C294:AM294">C292-C293</f>
        <v>601</v>
      </c>
      <c r="D294" s="1008">
        <f t="shared" si="635"/>
        <v>440</v>
      </c>
      <c r="E294" s="1008">
        <f t="shared" si="635"/>
        <v>-332</v>
      </c>
      <c r="F294" s="1008">
        <f t="shared" si="635"/>
        <v>217</v>
      </c>
      <c r="G294" s="1008">
        <f t="shared" si="635"/>
        <v>838</v>
      </c>
      <c r="H294" s="185">
        <f t="shared" si="635"/>
        <v>268</v>
      </c>
      <c r="I294" s="185">
        <f t="shared" si="635"/>
        <v>75</v>
      </c>
      <c r="J294" s="185">
        <f t="shared" si="635"/>
        <v>239</v>
      </c>
      <c r="K294" s="185">
        <f t="shared" si="635"/>
        <v>242</v>
      </c>
      <c r="L294" s="1008">
        <f t="shared" si="635"/>
        <v>824</v>
      </c>
      <c r="M294" s="185">
        <f t="shared" si="635"/>
        <v>252</v>
      </c>
      <c r="N294" s="185">
        <f t="shared" si="635"/>
        <v>174</v>
      </c>
      <c r="O294" s="185">
        <f t="shared" si="635"/>
        <v>241</v>
      </c>
      <c r="P294" s="185">
        <f t="shared" si="635"/>
        <v>222</v>
      </c>
      <c r="Q294" s="1008">
        <f t="shared" si="635"/>
        <v>889</v>
      </c>
      <c r="R294" s="185">
        <f t="shared" si="635"/>
        <v>152</v>
      </c>
      <c r="S294" s="185">
        <f t="shared" si="635"/>
        <v>95</v>
      </c>
      <c r="T294" s="185">
        <f t="shared" si="635"/>
        <v>163</v>
      </c>
      <c r="U294" s="185">
        <f t="shared" si="635"/>
        <v>107</v>
      </c>
      <c r="V294" s="1008">
        <f t="shared" si="635"/>
        <v>517</v>
      </c>
      <c r="W294" s="185">
        <f t="shared" si="635"/>
        <v>89</v>
      </c>
      <c r="X294" s="185">
        <f t="shared" si="635"/>
        <v>12</v>
      </c>
      <c r="Y294" s="185">
        <f t="shared" si="635"/>
        <v>77</v>
      </c>
      <c r="Z294" s="185">
        <f t="shared" si="635"/>
        <v>-50</v>
      </c>
      <c r="AA294" s="1008">
        <f t="shared" si="635"/>
        <v>128</v>
      </c>
      <c r="AB294" s="185">
        <f t="shared" si="635"/>
        <v>129</v>
      </c>
      <c r="AC294" s="185">
        <f t="shared" si="635"/>
        <v>-17</v>
      </c>
      <c r="AD294" s="185">
        <f t="shared" si="635"/>
        <v>153</v>
      </c>
      <c r="AE294" s="185">
        <f t="shared" si="635"/>
        <v>32</v>
      </c>
      <c r="AF294" s="1008">
        <f t="shared" si="635"/>
        <v>297</v>
      </c>
      <c r="AG294" s="185">
        <f t="shared" si="635"/>
        <v>278</v>
      </c>
      <c r="AH294" s="185">
        <f t="shared" si="635"/>
        <v>88</v>
      </c>
      <c r="AI294" s="185">
        <f t="shared" si="635"/>
        <v>131</v>
      </c>
      <c r="AJ294" s="185">
        <f t="shared" si="635"/>
        <v>327</v>
      </c>
      <c r="AK294" s="1008">
        <f t="shared" si="635"/>
        <v>824</v>
      </c>
      <c r="AL294" s="185">
        <f t="shared" si="635"/>
        <v>336</v>
      </c>
      <c r="AM294" s="185">
        <f t="shared" si="635"/>
        <v>10</v>
      </c>
      <c r="AN294" s="185">
        <f>AN292-AN293</f>
        <v>392</v>
      </c>
      <c r="AO294" s="185">
        <f t="shared" si="636" ref="AO294:AQ294">AO292-AO293</f>
        <v>457</v>
      </c>
      <c r="AP294" s="1008">
        <f t="shared" si="636"/>
        <v>1195</v>
      </c>
      <c r="AQ294" s="185">
        <f t="shared" si="636"/>
        <v>314</v>
      </c>
      <c r="AR294" s="185">
        <f t="shared" si="637" ref="AR294:AW294">AR292-AR293</f>
        <v>121</v>
      </c>
      <c r="AS294" s="185">
        <f t="shared" si="637"/>
        <v>-2</v>
      </c>
      <c r="AT294" s="185">
        <f t="shared" si="637"/>
        <v>327</v>
      </c>
      <c r="AU294" s="1008">
        <f t="shared" si="637"/>
        <v>760</v>
      </c>
      <c r="AV294" s="185">
        <f t="shared" si="637"/>
        <v>225</v>
      </c>
      <c r="AW294" s="185">
        <f t="shared" si="637"/>
        <v>-193</v>
      </c>
      <c r="AX294" s="185">
        <f t="shared" si="638" ref="AX294:BC294">AX292-AX293</f>
        <v>-111</v>
      </c>
      <c r="AY294" s="185">
        <f t="shared" si="638"/>
        <v>-61</v>
      </c>
      <c r="AZ294" s="1008">
        <f t="shared" si="638"/>
        <v>-140</v>
      </c>
      <c r="BA294" s="185">
        <f t="shared" si="638"/>
        <v>83</v>
      </c>
      <c r="BB294" s="185">
        <f t="shared" si="638"/>
        <v>-538</v>
      </c>
      <c r="BC294" s="185">
        <f t="shared" si="638"/>
        <v>-193</v>
      </c>
      <c r="BD294" s="185">
        <f>BD292-BD293</f>
        <v>520</v>
      </c>
      <c r="BE294" s="1008">
        <f>BE292-BE293</f>
        <v>-128</v>
      </c>
      <c r="BF294" s="185">
        <f>BF292-BF293</f>
        <v>220</v>
      </c>
      <c r="BG294" s="185">
        <f>BG292-BG293</f>
        <v>-153</v>
      </c>
      <c r="BH294" s="749">
        <f>BH292-BH293</f>
        <v>384</v>
      </c>
      <c r="BI294" s="199"/>
      <c r="BJ294" s="1009"/>
      <c r="BK294" s="199"/>
      <c r="BL294" s="199"/>
      <c r="BM294" s="199"/>
      <c r="BN294" s="199"/>
      <c r="BO294" s="1009"/>
      <c r="BP294" s="1009"/>
      <c r="BQ294" s="1009"/>
      <c r="BR294" s="1009"/>
      <c r="BS294" s="185"/>
    </row>
    <row r="295" spans="1:71" s="261" customFormat="1" ht="15" hidden="1" outlineLevel="1">
      <c r="A295" s="471"/>
      <c r="B295" s="468"/>
      <c r="C295" s="994"/>
      <c r="D295" s="994"/>
      <c r="E295" s="994"/>
      <c r="F295" s="994"/>
      <c r="G295" s="994"/>
      <c r="H295" s="210"/>
      <c r="I295" s="210"/>
      <c r="J295" s="210"/>
      <c r="K295" s="210"/>
      <c r="L295" s="994"/>
      <c r="M295" s="210"/>
      <c r="N295" s="210"/>
      <c r="O295" s="210"/>
      <c r="P295" s="210"/>
      <c r="Q295" s="994"/>
      <c r="R295" s="210"/>
      <c r="S295" s="210"/>
      <c r="T295" s="210"/>
      <c r="U295" s="210"/>
      <c r="V295" s="994"/>
      <c r="W295" s="210"/>
      <c r="X295" s="210"/>
      <c r="Y295" s="210"/>
      <c r="Z295" s="210"/>
      <c r="AA295" s="994"/>
      <c r="AB295" s="210"/>
      <c r="AC295" s="210"/>
      <c r="AD295" s="210"/>
      <c r="AE295" s="210"/>
      <c r="AF295" s="994"/>
      <c r="AG295" s="210"/>
      <c r="AH295" s="210"/>
      <c r="AI295" s="210"/>
      <c r="AJ295" s="210"/>
      <c r="AK295" s="994"/>
      <c r="AL295" s="210"/>
      <c r="AM295" s="210"/>
      <c r="AN295" s="210"/>
      <c r="AO295" s="210"/>
      <c r="AP295" s="994"/>
      <c r="AQ295" s="210"/>
      <c r="AR295" s="210"/>
      <c r="AS295" s="210"/>
      <c r="AT295" s="210"/>
      <c r="AU295" s="994"/>
      <c r="AV295" s="210"/>
      <c r="AW295" s="210"/>
      <c r="AX295" s="210"/>
      <c r="AY295" s="210"/>
      <c r="AZ295" s="994"/>
      <c r="BA295" s="210"/>
      <c r="BB295" s="210"/>
      <c r="BC295" s="210"/>
      <c r="BD295" s="210"/>
      <c r="BE295" s="994"/>
      <c r="BF295" s="210"/>
      <c r="BG295" s="210"/>
      <c r="BH295" s="553"/>
      <c r="BI295" s="210"/>
      <c r="BJ295" s="994"/>
      <c r="BK295" s="210"/>
      <c r="BL295" s="210"/>
      <c r="BM295" s="210"/>
      <c r="BN295" s="210"/>
      <c r="BO295" s="994"/>
      <c r="BP295" s="994"/>
      <c r="BQ295" s="994"/>
      <c r="BR295" s="994"/>
      <c r="BS295" s="265"/>
    </row>
    <row r="296" spans="1:71" s="261" customFormat="1" ht="15" hidden="1" outlineLevel="1">
      <c r="A296" s="264" t="s">
        <v>427</v>
      </c>
      <c r="B296" s="468"/>
      <c r="C296" s="1032">
        <v>194</v>
      </c>
      <c r="D296" s="1032">
        <v>14</v>
      </c>
      <c r="E296" s="1032">
        <v>-721</v>
      </c>
      <c r="F296" s="1032">
        <v>-150</v>
      </c>
      <c r="G296" s="1032">
        <v>475</v>
      </c>
      <c r="H296" s="924">
        <v>172</v>
      </c>
      <c r="I296" s="924">
        <v>-11</v>
      </c>
      <c r="J296" s="924">
        <v>150</v>
      </c>
      <c r="K296" s="924">
        <v>160</v>
      </c>
      <c r="L296" s="1032">
        <v>471</v>
      </c>
      <c r="M296" s="924">
        <v>178</v>
      </c>
      <c r="N296" s="924">
        <v>97</v>
      </c>
      <c r="O296" s="924">
        <v>166</v>
      </c>
      <c r="P296" s="924">
        <v>151</v>
      </c>
      <c r="Q296" s="1032">
        <v>592</v>
      </c>
      <c r="R296" s="924">
        <v>74</v>
      </c>
      <c r="S296" s="924">
        <v>16</v>
      </c>
      <c r="T296" s="924">
        <v>79</v>
      </c>
      <c r="U296" s="924">
        <v>21</v>
      </c>
      <c r="V296" s="1032">
        <v>190</v>
      </c>
      <c r="W296" s="924">
        <v>3</v>
      </c>
      <c r="X296" s="924">
        <v>-71</v>
      </c>
      <c r="Y296" s="924">
        <v>-5</v>
      </c>
      <c r="Z296" s="924">
        <v>-136</v>
      </c>
      <c r="AA296" s="1032">
        <v>-209</v>
      </c>
      <c r="AB296" s="924">
        <v>33</v>
      </c>
      <c r="AC296" s="924">
        <v>-111</v>
      </c>
      <c r="AD296" s="924">
        <v>49</v>
      </c>
      <c r="AE296" s="924">
        <v>-69</v>
      </c>
      <c r="AF296" s="1032">
        <v>-98</v>
      </c>
      <c r="AG296" s="924">
        <v>177</v>
      </c>
      <c r="AH296" s="924">
        <v>-20</v>
      </c>
      <c r="AI296" s="924">
        <v>24</v>
      </c>
      <c r="AJ296" s="924">
        <v>220</v>
      </c>
      <c r="AK296" s="1032">
        <v>401</v>
      </c>
      <c r="AL296" s="924">
        <v>232</v>
      </c>
      <c r="AM296" s="924">
        <v>-40</v>
      </c>
      <c r="AN296" s="924">
        <v>279</v>
      </c>
      <c r="AO296" s="265">
        <f t="shared" si="639" ref="AO296:AO298">AP296-SUM(AL296,AM296,AN296)</f>
        <v>342</v>
      </c>
      <c r="AP296" s="1032">
        <v>813</v>
      </c>
      <c r="AQ296" s="924">
        <v>198</v>
      </c>
      <c r="AR296" s="924">
        <v>-12</v>
      </c>
      <c r="AS296" s="924">
        <v>-130</v>
      </c>
      <c r="AT296" s="265">
        <f>AU296-SUM(AQ296,AR296,AS296)</f>
        <v>203</v>
      </c>
      <c r="AU296" s="1032">
        <v>259</v>
      </c>
      <c r="AV296" s="924">
        <v>119</v>
      </c>
      <c r="AW296" s="924">
        <v>-305</v>
      </c>
      <c r="AX296" s="924">
        <v>-212</v>
      </c>
      <c r="AY296" s="265">
        <f>AZ296-SUM(AV296,AW296,AX296)</f>
        <v>-165</v>
      </c>
      <c r="AZ296" s="1032">
        <v>-563</v>
      </c>
      <c r="BA296" s="924">
        <v>-30</v>
      </c>
      <c r="BB296" s="924">
        <v>-657</v>
      </c>
      <c r="BC296" s="924">
        <v>-319</v>
      </c>
      <c r="BD296" s="265">
        <f>BE296-SUM(BA296,BB296,BC296)</f>
        <v>394</v>
      </c>
      <c r="BE296" s="1032">
        <v>-612</v>
      </c>
      <c r="BF296" s="924">
        <v>82</v>
      </c>
      <c r="BG296" s="924">
        <v>-296</v>
      </c>
      <c r="BH296" s="925">
        <v>236</v>
      </c>
      <c r="BI296" s="210"/>
      <c r="BJ296" s="994"/>
      <c r="BK296" s="210"/>
      <c r="BL296" s="210"/>
      <c r="BM296" s="210"/>
      <c r="BN296" s="210"/>
      <c r="BO296" s="994"/>
      <c r="BP296" s="994"/>
      <c r="BQ296" s="994"/>
      <c r="BR296" s="994"/>
      <c r="BS296" s="265"/>
    </row>
    <row r="297" spans="1:71" s="261" customFormat="1" ht="15" hidden="1" outlineLevel="1">
      <c r="A297" s="264" t="s">
        <v>428</v>
      </c>
      <c r="B297" s="468"/>
      <c r="C297" s="1032">
        <v>351</v>
      </c>
      <c r="D297" s="1032">
        <v>376</v>
      </c>
      <c r="E297" s="1032">
        <v>343</v>
      </c>
      <c r="F297" s="1032">
        <v>323</v>
      </c>
      <c r="G297" s="1032">
        <v>295</v>
      </c>
      <c r="H297" s="924">
        <v>79</v>
      </c>
      <c r="I297" s="924">
        <v>74</v>
      </c>
      <c r="J297" s="924">
        <v>77</v>
      </c>
      <c r="K297" s="924">
        <v>70</v>
      </c>
      <c r="L297" s="1032">
        <v>300</v>
      </c>
      <c r="M297" s="924">
        <v>66</v>
      </c>
      <c r="N297" s="924">
        <v>70</v>
      </c>
      <c r="O297" s="924">
        <v>68</v>
      </c>
      <c r="P297" s="924">
        <v>62</v>
      </c>
      <c r="Q297" s="1032">
        <v>266</v>
      </c>
      <c r="R297" s="924">
        <v>68</v>
      </c>
      <c r="S297" s="924">
        <v>69</v>
      </c>
      <c r="T297" s="924">
        <v>73</v>
      </c>
      <c r="U297" s="924">
        <v>76</v>
      </c>
      <c r="V297" s="1032">
        <v>286</v>
      </c>
      <c r="W297" s="924">
        <v>75</v>
      </c>
      <c r="X297" s="924">
        <v>74</v>
      </c>
      <c r="Y297" s="924">
        <v>72</v>
      </c>
      <c r="Z297" s="924">
        <v>76</v>
      </c>
      <c r="AA297" s="1032">
        <v>297</v>
      </c>
      <c r="AB297" s="924">
        <v>83</v>
      </c>
      <c r="AC297" s="924">
        <v>83</v>
      </c>
      <c r="AD297" s="924">
        <v>90</v>
      </c>
      <c r="AE297" s="924">
        <v>88</v>
      </c>
      <c r="AF297" s="1032">
        <v>344</v>
      </c>
      <c r="AG297" s="924">
        <v>84</v>
      </c>
      <c r="AH297" s="924">
        <v>91</v>
      </c>
      <c r="AI297" s="924">
        <v>89</v>
      </c>
      <c r="AJ297" s="924">
        <v>89</v>
      </c>
      <c r="AK297" s="1032">
        <v>353</v>
      </c>
      <c r="AL297" s="924">
        <v>87</v>
      </c>
      <c r="AM297" s="924">
        <v>41</v>
      </c>
      <c r="AN297" s="924">
        <v>96</v>
      </c>
      <c r="AO297" s="265">
        <f t="shared" si="639"/>
        <v>99</v>
      </c>
      <c r="AP297" s="1032">
        <v>323</v>
      </c>
      <c r="AQ297" s="924">
        <v>99</v>
      </c>
      <c r="AR297" s="924">
        <v>116</v>
      </c>
      <c r="AS297" s="924">
        <v>111</v>
      </c>
      <c r="AT297" s="265">
        <f>AU297-SUM(AQ297,AR297,AS297)</f>
        <v>108</v>
      </c>
      <c r="AU297" s="1032">
        <v>434</v>
      </c>
      <c r="AV297" s="924">
        <v>93</v>
      </c>
      <c r="AW297" s="924">
        <v>101</v>
      </c>
      <c r="AX297" s="924">
        <v>87</v>
      </c>
      <c r="AY297" s="265">
        <f>AZ297-SUM(AV297,AW297,AX297)</f>
        <v>90</v>
      </c>
      <c r="AZ297" s="1032">
        <v>371</v>
      </c>
      <c r="BA297" s="924">
        <v>98</v>
      </c>
      <c r="BB297" s="924">
        <v>103</v>
      </c>
      <c r="BC297" s="924">
        <v>111</v>
      </c>
      <c r="BD297" s="265">
        <f>BE297-SUM(BA297,BB297,BC297)</f>
        <v>111</v>
      </c>
      <c r="BE297" s="1032">
        <v>423</v>
      </c>
      <c r="BF297" s="924">
        <v>122</v>
      </c>
      <c r="BG297" s="924">
        <v>129</v>
      </c>
      <c r="BH297" s="925">
        <v>133</v>
      </c>
      <c r="BI297" s="210"/>
      <c r="BJ297" s="994"/>
      <c r="BK297" s="210"/>
      <c r="BL297" s="210"/>
      <c r="BM297" s="210"/>
      <c r="BN297" s="210"/>
      <c r="BO297" s="994"/>
      <c r="BP297" s="994"/>
      <c r="BQ297" s="994"/>
      <c r="BR297" s="994"/>
      <c r="BS297" s="265"/>
    </row>
    <row r="298" spans="1:71" s="261" customFormat="1" ht="15" hidden="1" outlineLevel="1">
      <c r="A298" s="209" t="s">
        <v>429</v>
      </c>
      <c r="B298" s="469"/>
      <c r="C298" s="1033">
        <v>56</v>
      </c>
      <c r="D298" s="1033">
        <v>50</v>
      </c>
      <c r="E298" s="1033">
        <v>46</v>
      </c>
      <c r="F298" s="1033">
        <v>44</v>
      </c>
      <c r="G298" s="1033">
        <v>68</v>
      </c>
      <c r="H298" s="927">
        <v>17</v>
      </c>
      <c r="I298" s="927">
        <v>12</v>
      </c>
      <c r="J298" s="927">
        <v>12</v>
      </c>
      <c r="K298" s="927">
        <v>12</v>
      </c>
      <c r="L298" s="1033">
        <v>53</v>
      </c>
      <c r="M298" s="927">
        <v>8</v>
      </c>
      <c r="N298" s="927">
        <v>7</v>
      </c>
      <c r="O298" s="927">
        <v>7</v>
      </c>
      <c r="P298" s="927">
        <v>9</v>
      </c>
      <c r="Q298" s="1033">
        <v>31</v>
      </c>
      <c r="R298" s="927">
        <v>10</v>
      </c>
      <c r="S298" s="927">
        <v>10</v>
      </c>
      <c r="T298" s="927">
        <v>11</v>
      </c>
      <c r="U298" s="927">
        <v>10</v>
      </c>
      <c r="V298" s="1033">
        <v>41</v>
      </c>
      <c r="W298" s="927">
        <v>11</v>
      </c>
      <c r="X298" s="927">
        <v>9</v>
      </c>
      <c r="Y298" s="927">
        <v>10</v>
      </c>
      <c r="Z298" s="927">
        <v>10</v>
      </c>
      <c r="AA298" s="1033">
        <v>40</v>
      </c>
      <c r="AB298" s="927">
        <v>13</v>
      </c>
      <c r="AC298" s="927">
        <v>11</v>
      </c>
      <c r="AD298" s="927">
        <v>14</v>
      </c>
      <c r="AE298" s="927">
        <v>13</v>
      </c>
      <c r="AF298" s="1033">
        <v>51</v>
      </c>
      <c r="AG298" s="927">
        <v>17</v>
      </c>
      <c r="AH298" s="927">
        <v>17</v>
      </c>
      <c r="AI298" s="927">
        <v>18</v>
      </c>
      <c r="AJ298" s="927">
        <v>18</v>
      </c>
      <c r="AK298" s="1033">
        <v>70</v>
      </c>
      <c r="AL298" s="927">
        <v>17</v>
      </c>
      <c r="AM298" s="927">
        <v>9</v>
      </c>
      <c r="AN298" s="927">
        <v>17</v>
      </c>
      <c r="AO298" s="186">
        <f t="shared" si="639"/>
        <v>16</v>
      </c>
      <c r="AP298" s="1033">
        <v>59</v>
      </c>
      <c r="AQ298" s="927">
        <v>17</v>
      </c>
      <c r="AR298" s="927">
        <v>17</v>
      </c>
      <c r="AS298" s="927">
        <v>17</v>
      </c>
      <c r="AT298" s="186">
        <f>AU298-SUM(AQ298,AR298,AS298)</f>
        <v>16</v>
      </c>
      <c r="AU298" s="1033">
        <v>67</v>
      </c>
      <c r="AV298" s="927">
        <v>13</v>
      </c>
      <c r="AW298" s="927">
        <v>11</v>
      </c>
      <c r="AX298" s="927">
        <v>14</v>
      </c>
      <c r="AY298" s="186">
        <f>AZ298-SUM(AV298,AW298,AX298)</f>
        <v>14</v>
      </c>
      <c r="AZ298" s="1033">
        <v>52</v>
      </c>
      <c r="BA298" s="927">
        <v>15</v>
      </c>
      <c r="BB298" s="927">
        <v>16</v>
      </c>
      <c r="BC298" s="927">
        <v>15</v>
      </c>
      <c r="BD298" s="186">
        <f>BE298-SUM(BA298,BB298,BC298)</f>
        <v>15</v>
      </c>
      <c r="BE298" s="1033">
        <v>61</v>
      </c>
      <c r="BF298" s="927">
        <v>16</v>
      </c>
      <c r="BG298" s="927">
        <v>14</v>
      </c>
      <c r="BH298" s="928">
        <v>15</v>
      </c>
      <c r="BI298" s="205"/>
      <c r="BJ298" s="996"/>
      <c r="BK298" s="205"/>
      <c r="BL298" s="205"/>
      <c r="BM298" s="205"/>
      <c r="BN298" s="205"/>
      <c r="BO298" s="996"/>
      <c r="BP298" s="996"/>
      <c r="BQ298" s="996"/>
      <c r="BR298" s="996"/>
      <c r="BS298" s="265"/>
    </row>
    <row r="299" spans="1:71" s="45" customFormat="1" ht="15" hidden="1" outlineLevel="1">
      <c r="A299" s="197" t="s">
        <v>426</v>
      </c>
      <c r="B299" s="470"/>
      <c r="C299" s="1008">
        <f t="shared" si="640" ref="C299:AM299">SUM(C296:C298)</f>
        <v>601</v>
      </c>
      <c r="D299" s="1008">
        <f t="shared" si="640"/>
        <v>440</v>
      </c>
      <c r="E299" s="1008">
        <f t="shared" si="640"/>
        <v>-332</v>
      </c>
      <c r="F299" s="1008">
        <f t="shared" si="640"/>
        <v>217</v>
      </c>
      <c r="G299" s="1008">
        <f t="shared" si="640"/>
        <v>838</v>
      </c>
      <c r="H299" s="185">
        <f t="shared" si="640"/>
        <v>268</v>
      </c>
      <c r="I299" s="185">
        <f t="shared" si="640"/>
        <v>75</v>
      </c>
      <c r="J299" s="185">
        <f t="shared" si="640"/>
        <v>239</v>
      </c>
      <c r="K299" s="185">
        <f t="shared" si="640"/>
        <v>242</v>
      </c>
      <c r="L299" s="1008">
        <f t="shared" si="640"/>
        <v>824</v>
      </c>
      <c r="M299" s="185">
        <f t="shared" si="640"/>
        <v>252</v>
      </c>
      <c r="N299" s="185">
        <f t="shared" si="640"/>
        <v>174</v>
      </c>
      <c r="O299" s="185">
        <f t="shared" si="640"/>
        <v>241</v>
      </c>
      <c r="P299" s="185">
        <f t="shared" si="640"/>
        <v>222</v>
      </c>
      <c r="Q299" s="1008">
        <f t="shared" si="640"/>
        <v>889</v>
      </c>
      <c r="R299" s="185">
        <f t="shared" si="640"/>
        <v>152</v>
      </c>
      <c r="S299" s="185">
        <f t="shared" si="640"/>
        <v>95</v>
      </c>
      <c r="T299" s="185">
        <f t="shared" si="640"/>
        <v>163</v>
      </c>
      <c r="U299" s="185">
        <f t="shared" si="640"/>
        <v>107</v>
      </c>
      <c r="V299" s="1008">
        <f t="shared" si="640"/>
        <v>517</v>
      </c>
      <c r="W299" s="185">
        <f t="shared" si="640"/>
        <v>89</v>
      </c>
      <c r="X299" s="185">
        <f t="shared" si="640"/>
        <v>12</v>
      </c>
      <c r="Y299" s="185">
        <f t="shared" si="640"/>
        <v>77</v>
      </c>
      <c r="Z299" s="185">
        <f t="shared" si="640"/>
        <v>-50</v>
      </c>
      <c r="AA299" s="1008">
        <f t="shared" si="640"/>
        <v>128</v>
      </c>
      <c r="AB299" s="185">
        <f t="shared" si="640"/>
        <v>129</v>
      </c>
      <c r="AC299" s="185">
        <f t="shared" si="640"/>
        <v>-17</v>
      </c>
      <c r="AD299" s="185">
        <f t="shared" si="640"/>
        <v>153</v>
      </c>
      <c r="AE299" s="185">
        <f t="shared" si="640"/>
        <v>32</v>
      </c>
      <c r="AF299" s="1008">
        <f t="shared" si="640"/>
        <v>297</v>
      </c>
      <c r="AG299" s="185">
        <f t="shared" si="640"/>
        <v>278</v>
      </c>
      <c r="AH299" s="185">
        <f t="shared" si="640"/>
        <v>88</v>
      </c>
      <c r="AI299" s="185">
        <f t="shared" si="640"/>
        <v>131</v>
      </c>
      <c r="AJ299" s="185">
        <f t="shared" si="640"/>
        <v>327</v>
      </c>
      <c r="AK299" s="1008">
        <f t="shared" si="640"/>
        <v>824</v>
      </c>
      <c r="AL299" s="185">
        <f t="shared" si="640"/>
        <v>336</v>
      </c>
      <c r="AM299" s="185">
        <f t="shared" si="640"/>
        <v>10</v>
      </c>
      <c r="AN299" s="185">
        <f>SUM(AN296:AN298)</f>
        <v>392</v>
      </c>
      <c r="AO299" s="185">
        <f t="shared" si="641" ref="AO299:AQ299">SUM(AO296:AO298)</f>
        <v>457</v>
      </c>
      <c r="AP299" s="1008">
        <f t="shared" si="641"/>
        <v>1195</v>
      </c>
      <c r="AQ299" s="185">
        <f t="shared" si="641"/>
        <v>314</v>
      </c>
      <c r="AR299" s="185">
        <f t="shared" si="642" ref="AR299:AW299">SUM(AR296:AR298)</f>
        <v>121</v>
      </c>
      <c r="AS299" s="185">
        <f t="shared" si="642"/>
        <v>-2</v>
      </c>
      <c r="AT299" s="185">
        <f t="shared" si="642"/>
        <v>327</v>
      </c>
      <c r="AU299" s="1008">
        <f t="shared" si="642"/>
        <v>760</v>
      </c>
      <c r="AV299" s="185">
        <f t="shared" si="642"/>
        <v>225</v>
      </c>
      <c r="AW299" s="185">
        <f t="shared" si="642"/>
        <v>-193</v>
      </c>
      <c r="AX299" s="185">
        <f t="shared" si="643" ref="AX299:BC299">SUM(AX296:AX298)</f>
        <v>-111</v>
      </c>
      <c r="AY299" s="185">
        <f t="shared" si="643"/>
        <v>-61</v>
      </c>
      <c r="AZ299" s="1008">
        <f t="shared" si="643"/>
        <v>-140</v>
      </c>
      <c r="BA299" s="185">
        <f t="shared" si="643"/>
        <v>83</v>
      </c>
      <c r="BB299" s="185">
        <f t="shared" si="643"/>
        <v>-538</v>
      </c>
      <c r="BC299" s="185">
        <f t="shared" si="643"/>
        <v>-193</v>
      </c>
      <c r="BD299" s="185">
        <f>SUM(BD296:BD298)</f>
        <v>520</v>
      </c>
      <c r="BE299" s="1008">
        <f>SUM(BE296:BE298)</f>
        <v>-128</v>
      </c>
      <c r="BF299" s="185">
        <f>SUM(BF296:BF298)</f>
        <v>220</v>
      </c>
      <c r="BG299" s="185">
        <f>SUM(BG296:BG298)</f>
        <v>-153</v>
      </c>
      <c r="BH299" s="749">
        <f>SUM(BH296:BH298)</f>
        <v>384</v>
      </c>
      <c r="BI299" s="199"/>
      <c r="BJ299" s="1009"/>
      <c r="BK299" s="199"/>
      <c r="BL299" s="199"/>
      <c r="BM299" s="199"/>
      <c r="BN299" s="199"/>
      <c r="BO299" s="1009"/>
      <c r="BP299" s="1009"/>
      <c r="BQ299" s="1009"/>
      <c r="BR299" s="1009"/>
      <c r="BS299" s="185"/>
    </row>
    <row r="300" spans="1:71" s="24" customFormat="1" ht="15" hidden="1" outlineLevel="1">
      <c r="A300" s="449"/>
      <c r="B300" s="445"/>
      <c r="C300" s="1011"/>
      <c r="D300" s="1011"/>
      <c r="E300" s="1011"/>
      <c r="F300" s="1011"/>
      <c r="G300" s="1011"/>
      <c r="H300" s="857"/>
      <c r="I300" s="857"/>
      <c r="J300" s="857"/>
      <c r="K300" s="857"/>
      <c r="L300" s="1011"/>
      <c r="M300" s="857"/>
      <c r="N300" s="857"/>
      <c r="O300" s="857"/>
      <c r="P300" s="857"/>
      <c r="Q300" s="1011"/>
      <c r="R300" s="857"/>
      <c r="S300" s="857"/>
      <c r="T300" s="857"/>
      <c r="U300" s="857"/>
      <c r="V300" s="1011"/>
      <c r="W300" s="857"/>
      <c r="X300" s="857"/>
      <c r="Y300" s="857"/>
      <c r="Z300" s="857"/>
      <c r="AA300" s="1011"/>
      <c r="AB300" s="857"/>
      <c r="AC300" s="857"/>
      <c r="AD300" s="857"/>
      <c r="AE300" s="857"/>
      <c r="AF300" s="1011"/>
      <c r="AG300" s="857"/>
      <c r="AH300" s="857"/>
      <c r="AI300" s="857"/>
      <c r="AJ300" s="857"/>
      <c r="AK300" s="1011"/>
      <c r="AL300" s="857"/>
      <c r="AM300" s="857"/>
      <c r="AN300" s="857"/>
      <c r="AO300" s="857"/>
      <c r="AP300" s="1011"/>
      <c r="AQ300" s="857"/>
      <c r="AR300" s="857"/>
      <c r="AS300" s="857"/>
      <c r="AT300" s="857"/>
      <c r="AU300" s="1011"/>
      <c r="AV300" s="857"/>
      <c r="AW300" s="857"/>
      <c r="AX300" s="857"/>
      <c r="AY300" s="857"/>
      <c r="AZ300" s="1011"/>
      <c r="BA300" s="857"/>
      <c r="BB300" s="857"/>
      <c r="BC300" s="857"/>
      <c r="BD300" s="857"/>
      <c r="BE300" s="1011"/>
      <c r="BF300" s="857"/>
      <c r="BG300" s="857"/>
      <c r="BH300" s="858"/>
      <c r="BI300" s="857"/>
      <c r="BJ300" s="1011"/>
      <c r="BK300" s="857"/>
      <c r="BL300" s="857"/>
      <c r="BM300" s="857"/>
      <c r="BN300" s="857"/>
      <c r="BO300" s="1011"/>
      <c r="BP300" s="1011"/>
      <c r="BQ300" s="1011"/>
      <c r="BR300" s="1011"/>
      <c r="BS300" s="833"/>
    </row>
    <row r="301" spans="1:71" s="27" customFormat="1" ht="15" hidden="1" outlineLevel="1">
      <c r="A301" s="41" t="s">
        <v>430</v>
      </c>
      <c r="B301" s="434"/>
      <c r="C301" s="984">
        <v>0.65</v>
      </c>
      <c r="D301" s="984">
        <v>0.68100000000000005</v>
      </c>
      <c r="E301" s="984">
        <v>0.835</v>
      </c>
      <c r="F301" s="984">
        <v>0.72299999999999998</v>
      </c>
      <c r="G301" s="984">
        <v>0.59099999999999997</v>
      </c>
      <c r="H301" s="907">
        <v>0.55600000000000005</v>
      </c>
      <c r="I301" s="907">
        <v>0.71099999999999997</v>
      </c>
      <c r="J301" s="907">
        <v>0.56000000000000005</v>
      </c>
      <c r="K301" s="907">
        <v>0.55500000000000005</v>
      </c>
      <c r="L301" s="984">
        <v>0.59599999999999997</v>
      </c>
      <c r="M301" s="907">
        <v>0.55200000000000005</v>
      </c>
      <c r="N301" s="907">
        <v>0.622</v>
      </c>
      <c r="O301" s="907">
        <v>0.56499999999999995</v>
      </c>
      <c r="P301" s="907">
        <v>0.58499999999999996</v>
      </c>
      <c r="Q301" s="984">
        <v>0.58099999999999996</v>
      </c>
      <c r="R301" s="907">
        <v>0.655</v>
      </c>
      <c r="S301" s="907">
        <v>0.68899999999999995</v>
      </c>
      <c r="T301" s="907">
        <v>0.65200000000000002</v>
      </c>
      <c r="U301" s="907">
        <v>0.70299999999999996</v>
      </c>
      <c r="V301" s="984">
        <v>0.675</v>
      </c>
      <c r="W301" s="907">
        <v>0.72899999999999998</v>
      </c>
      <c r="X301" s="907">
        <v>0.76800000000000002</v>
      </c>
      <c r="Y301" s="907">
        <v>0.73099999999999998</v>
      </c>
      <c r="Z301" s="907">
        <v>0.82199999999999995</v>
      </c>
      <c r="AA301" s="984">
        <v>0.76300000000000001</v>
      </c>
      <c r="AB301" s="907">
        <v>0.70699999999999996</v>
      </c>
      <c r="AC301" s="907">
        <v>0.77600000000000002</v>
      </c>
      <c r="AD301" s="907">
        <v>0.71199999999999997</v>
      </c>
      <c r="AE301" s="907">
        <v>0.76800000000000002</v>
      </c>
      <c r="AF301" s="984">
        <v>0.74099999999999999</v>
      </c>
      <c r="AG301" s="907">
        <v>0.63700000000000001</v>
      </c>
      <c r="AH301" s="907">
        <v>0.73699999999999999</v>
      </c>
      <c r="AI301" s="907">
        <v>0.71799999999999997</v>
      </c>
      <c r="AJ301" s="907">
        <v>0.628</v>
      </c>
      <c r="AK301" s="984">
        <v>0.68</v>
      </c>
      <c r="AL301" s="907">
        <v>0.61899999999999999</v>
      </c>
      <c r="AM301" s="907">
        <v>0.72199999999999998</v>
      </c>
      <c r="AN301" s="907">
        <v>0.60</v>
      </c>
      <c r="AO301" s="907">
        <v>0.57899999999999996</v>
      </c>
      <c r="AP301" s="984">
        <v>0.628</v>
      </c>
      <c r="AQ301" s="907">
        <v>0.63600000000000001</v>
      </c>
      <c r="AR301" s="907">
        <v>0.73299999999999998</v>
      </c>
      <c r="AS301" s="907">
        <v>0.78200000000000003</v>
      </c>
      <c r="AT301" s="907">
        <v>0.66</v>
      </c>
      <c r="AU301" s="984">
        <v>0.70299999999999996</v>
      </c>
      <c r="AV301" s="907">
        <v>0.695</v>
      </c>
      <c r="AW301" s="907">
        <v>0.85399999999999998</v>
      </c>
      <c r="AX301" s="907">
        <v>0.82599999999999996</v>
      </c>
      <c r="AY301" s="907">
        <v>0.81</v>
      </c>
      <c r="AZ301" s="984">
        <v>0.79800000000000004</v>
      </c>
      <c r="BA301" s="907">
        <v>0.76300000000000001</v>
      </c>
      <c r="BB301" s="907">
        <v>0.97399999999999998</v>
      </c>
      <c r="BC301" s="907">
        <v>0.85699999999999998</v>
      </c>
      <c r="BD301" s="907">
        <v>0.63400000000000001</v>
      </c>
      <c r="BE301" s="984">
        <v>0.80400000000000005</v>
      </c>
      <c r="BF301" s="907">
        <v>0.72199999999999998</v>
      </c>
      <c r="BG301" s="907">
        <v>0.83699999999999997</v>
      </c>
      <c r="BH301" s="929">
        <v>0.67700000000000005</v>
      </c>
      <c r="BI301" s="435"/>
      <c r="BJ301" s="982"/>
      <c r="BK301" s="435"/>
      <c r="BL301" s="435"/>
      <c r="BM301" s="435"/>
      <c r="BN301" s="435"/>
      <c r="BO301" s="982"/>
      <c r="BP301" s="982"/>
      <c r="BQ301" s="982"/>
      <c r="BR301" s="982"/>
      <c r="BS301" s="71"/>
    </row>
    <row r="302" spans="1:71" s="27" customFormat="1" ht="15" hidden="1" outlineLevel="1">
      <c r="A302" s="328" t="s">
        <v>431</v>
      </c>
      <c r="B302" s="436"/>
      <c r="C302" s="987">
        <v>0.29599999999999999</v>
      </c>
      <c r="D302" s="987">
        <v>0.30199999999999999</v>
      </c>
      <c r="E302" s="987">
        <v>0.30099999999999999</v>
      </c>
      <c r="F302" s="987">
        <v>0.29599999999999999</v>
      </c>
      <c r="G302" s="987">
        <v>0.29799999999999999</v>
      </c>
      <c r="H302" s="909">
        <v>0.28000000000000003</v>
      </c>
      <c r="I302" s="909">
        <v>0.28699999999999998</v>
      </c>
      <c r="J302" s="909">
        <v>0.30099999999999999</v>
      </c>
      <c r="K302" s="909">
        <v>0.29799999999999999</v>
      </c>
      <c r="L302" s="987">
        <v>0.29099999999999998</v>
      </c>
      <c r="M302" s="909">
        <v>0.28299999999999997</v>
      </c>
      <c r="N302" s="909">
        <v>0.28899999999999998</v>
      </c>
      <c r="O302" s="909">
        <v>0.28599999999999998</v>
      </c>
      <c r="P302" s="909">
        <v>0.28199999999999997</v>
      </c>
      <c r="Q302" s="987">
        <v>0.28499999999999998</v>
      </c>
      <c r="R302" s="909">
        <v>0.28100000000000003</v>
      </c>
      <c r="S302" s="909">
        <v>0.28899999999999998</v>
      </c>
      <c r="T302" s="909">
        <v>0.28299999999999997</v>
      </c>
      <c r="U302" s="909">
        <v>0.27700000000000002</v>
      </c>
      <c r="V302" s="987">
        <v>0.28299999999999997</v>
      </c>
      <c r="W302" s="909">
        <v>0.26700000000000002</v>
      </c>
      <c r="X302" s="909">
        <v>0.27300000000000002</v>
      </c>
      <c r="Y302" s="909">
        <v>0.26600000000000001</v>
      </c>
      <c r="Z302" s="909">
        <v>0.265</v>
      </c>
      <c r="AA302" s="987">
        <v>0.26800000000000002</v>
      </c>
      <c r="AB302" s="909">
        <v>0.26800000000000002</v>
      </c>
      <c r="AC302" s="909">
        <v>0.27300000000000002</v>
      </c>
      <c r="AD302" s="909">
        <v>0.26</v>
      </c>
      <c r="AE302" s="909">
        <v>0.25800000000000001</v>
      </c>
      <c r="AF302" s="987">
        <v>0.265</v>
      </c>
      <c r="AG302" s="909">
        <v>0.26400000000000001</v>
      </c>
      <c r="AH302" s="909">
        <v>0.265</v>
      </c>
      <c r="AI302" s="909">
        <v>0.26200000000000001</v>
      </c>
      <c r="AJ302" s="909">
        <v>0.25740000000000002</v>
      </c>
      <c r="AK302" s="987">
        <v>0.26200000000000001</v>
      </c>
      <c r="AL302" s="909">
        <v>0.26300000000000001</v>
      </c>
      <c r="AM302" s="909">
        <v>0.29099999999999998</v>
      </c>
      <c r="AN302" s="909">
        <v>0.26400000000000001</v>
      </c>
      <c r="AO302" s="909">
        <v>0.26200000000000001</v>
      </c>
      <c r="AP302" s="987">
        <v>0.26900000000000002</v>
      </c>
      <c r="AQ302" s="909">
        <v>0.26700000000000002</v>
      </c>
      <c r="AR302" s="909">
        <v>0.26400000000000001</v>
      </c>
      <c r="AS302" s="909">
        <v>0.26400000000000001</v>
      </c>
      <c r="AT302" s="909">
        <v>0.251</v>
      </c>
      <c r="AU302" s="987">
        <v>0.26200000000000001</v>
      </c>
      <c r="AV302" s="909">
        <v>0.25800000000000001</v>
      </c>
      <c r="AW302" s="909">
        <v>0.25800000000000001</v>
      </c>
      <c r="AX302" s="909">
        <v>0.246</v>
      </c>
      <c r="AY302" s="909">
        <v>0.24299999999999999</v>
      </c>
      <c r="AZ302" s="987">
        <v>0.251</v>
      </c>
      <c r="BA302" s="909">
        <v>0.252</v>
      </c>
      <c r="BB302" s="909">
        <v>0.246</v>
      </c>
      <c r="BC302" s="909">
        <v>0.24299999999999999</v>
      </c>
      <c r="BD302" s="909">
        <v>0.23400000000000001</v>
      </c>
      <c r="BE302" s="987">
        <v>0.24399999999999999</v>
      </c>
      <c r="BF302" s="909">
        <v>0.247</v>
      </c>
      <c r="BG302" s="909">
        <v>0.248</v>
      </c>
      <c r="BH302" s="930">
        <v>0.248</v>
      </c>
      <c r="BI302" s="437"/>
      <c r="BJ302" s="985"/>
      <c r="BK302" s="437"/>
      <c r="BL302" s="437"/>
      <c r="BM302" s="437"/>
      <c r="BN302" s="437"/>
      <c r="BO302" s="985"/>
      <c r="BP302" s="985"/>
      <c r="BQ302" s="985"/>
      <c r="BR302" s="985"/>
      <c r="BS302" s="71"/>
    </row>
    <row r="303" spans="1:71" s="28" customFormat="1" ht="15" hidden="1" outlineLevel="1">
      <c r="A303" s="40" t="s">
        <v>432</v>
      </c>
      <c r="B303" s="467"/>
      <c r="C303" s="1021">
        <f t="shared" si="644" ref="C303:AM303">SUM(C301:C302)</f>
        <v>0.94599999999999995</v>
      </c>
      <c r="D303" s="1021">
        <f t="shared" si="644"/>
        <v>0.9830000000000001</v>
      </c>
      <c r="E303" s="1021">
        <f t="shared" si="644"/>
        <v>1.1359999999999999</v>
      </c>
      <c r="F303" s="1021">
        <f t="shared" si="644"/>
        <v>1.0189999999999999</v>
      </c>
      <c r="G303" s="1021">
        <f t="shared" si="644"/>
        <v>0.88900000000000001</v>
      </c>
      <c r="H303" s="43">
        <f t="shared" si="644"/>
        <v>0.83600000000000008</v>
      </c>
      <c r="I303" s="43">
        <f t="shared" si="644"/>
        <v>0.998</v>
      </c>
      <c r="J303" s="43">
        <f t="shared" si="644"/>
        <v>0.86099999999999999</v>
      </c>
      <c r="K303" s="43">
        <f t="shared" si="644"/>
        <v>0.85299999999999998</v>
      </c>
      <c r="L303" s="1021">
        <f t="shared" si="644"/>
        <v>0.88700000000000001</v>
      </c>
      <c r="M303" s="43">
        <f t="shared" si="644"/>
        <v>0.835</v>
      </c>
      <c r="N303" s="43">
        <f t="shared" si="644"/>
        <v>0.91100000000000003</v>
      </c>
      <c r="O303" s="43">
        <f t="shared" si="644"/>
        <v>0.85099999999999998</v>
      </c>
      <c r="P303" s="43">
        <f t="shared" si="644"/>
        <v>0.86699999999999999</v>
      </c>
      <c r="Q303" s="1021">
        <f t="shared" si="644"/>
        <v>0.86599999999999988</v>
      </c>
      <c r="R303" s="43">
        <f t="shared" si="644"/>
        <v>0.93600000000000005</v>
      </c>
      <c r="S303" s="43">
        <f t="shared" si="644"/>
        <v>0.97799999999999998</v>
      </c>
      <c r="T303" s="43">
        <f t="shared" si="644"/>
        <v>0.935</v>
      </c>
      <c r="U303" s="43">
        <f t="shared" si="644"/>
        <v>0.98</v>
      </c>
      <c r="V303" s="1021">
        <f t="shared" si="644"/>
        <v>0.95799999999999996</v>
      </c>
      <c r="W303" s="43">
        <f t="shared" si="644"/>
        <v>0.996</v>
      </c>
      <c r="X303" s="43">
        <f t="shared" si="644"/>
        <v>1.0409999999999999</v>
      </c>
      <c r="Y303" s="43">
        <f t="shared" si="644"/>
        <v>0.997</v>
      </c>
      <c r="Z303" s="43">
        <f t="shared" si="644"/>
        <v>1.087</v>
      </c>
      <c r="AA303" s="1021">
        <f t="shared" si="644"/>
        <v>1.0310000000000001</v>
      </c>
      <c r="AB303" s="43">
        <f t="shared" si="644"/>
        <v>0.975</v>
      </c>
      <c r="AC303" s="43">
        <f t="shared" si="644"/>
        <v>1.0489999999999999</v>
      </c>
      <c r="AD303" s="43">
        <f t="shared" si="644"/>
        <v>0.97199999999999998</v>
      </c>
      <c r="AE303" s="43">
        <f t="shared" si="644"/>
        <v>1.026</v>
      </c>
      <c r="AF303" s="1021">
        <f t="shared" si="644"/>
        <v>1.006</v>
      </c>
      <c r="AG303" s="43">
        <f t="shared" si="644"/>
        <v>0.90100000000000002</v>
      </c>
      <c r="AH303" s="43">
        <f t="shared" si="644"/>
        <v>1.002</v>
      </c>
      <c r="AI303" s="43">
        <f t="shared" si="644"/>
        <v>0.98</v>
      </c>
      <c r="AJ303" s="43">
        <f t="shared" si="644"/>
        <v>0.88539999999999996</v>
      </c>
      <c r="AK303" s="1021">
        <f t="shared" si="644"/>
        <v>0.94200000000000006</v>
      </c>
      <c r="AL303" s="43">
        <f t="shared" si="644"/>
        <v>0.88200000000000001</v>
      </c>
      <c r="AM303" s="43">
        <f t="shared" si="644"/>
        <v>1.0129999999999999</v>
      </c>
      <c r="AN303" s="43">
        <f>SUM(AN301:AN302)</f>
        <v>0.86399999999999999</v>
      </c>
      <c r="AO303" s="43">
        <f t="shared" si="645" ref="AO303:AQ303">SUM(AO301:AO302)</f>
        <v>0.84099999999999997</v>
      </c>
      <c r="AP303" s="1021">
        <f t="shared" si="645"/>
        <v>0.89700000000000002</v>
      </c>
      <c r="AQ303" s="43">
        <f t="shared" si="645"/>
        <v>0.90300000000000002</v>
      </c>
      <c r="AR303" s="43">
        <f t="shared" si="646" ref="AR303:AW303">SUM(AR301:AR302)</f>
        <v>0.997</v>
      </c>
      <c r="AS303" s="43">
        <f t="shared" si="646"/>
        <v>1.046</v>
      </c>
      <c r="AT303" s="43">
        <f t="shared" si="646"/>
        <v>0.91100000000000003</v>
      </c>
      <c r="AU303" s="1021">
        <f t="shared" si="646"/>
        <v>0.965</v>
      </c>
      <c r="AV303" s="43">
        <f t="shared" si="646"/>
        <v>0.95299999999999996</v>
      </c>
      <c r="AW303" s="43">
        <f t="shared" si="646"/>
        <v>1.1120000000000001</v>
      </c>
      <c r="AX303" s="43">
        <f t="shared" si="647" ref="AX303:BC303">SUM(AX301:AX302)</f>
        <v>1.0720000000000001</v>
      </c>
      <c r="AY303" s="43">
        <f t="shared" si="647"/>
        <v>1.0529999999999999</v>
      </c>
      <c r="AZ303" s="1021">
        <f t="shared" si="647"/>
        <v>1.0489999999999999</v>
      </c>
      <c r="BA303" s="43">
        <f t="shared" si="647"/>
        <v>1.0150000000000001</v>
      </c>
      <c r="BB303" s="43">
        <f t="shared" si="647"/>
        <v>1.22</v>
      </c>
      <c r="BC303" s="43">
        <f t="shared" si="647"/>
        <v>1.1000000000000001</v>
      </c>
      <c r="BD303" s="43">
        <f>SUM(BD301:BD302)</f>
        <v>0.86799999999999999</v>
      </c>
      <c r="BE303" s="1021">
        <f>SUM(BE301:BE302)</f>
        <v>1.048</v>
      </c>
      <c r="BF303" s="43">
        <f>SUM(BF301:BF302)</f>
        <v>0.96899999999999997</v>
      </c>
      <c r="BG303" s="43">
        <f>SUM(BG301:BG302)</f>
        <v>1.085</v>
      </c>
      <c r="BH303" s="758">
        <f>SUM(BH301:BH302)</f>
        <v>0.925</v>
      </c>
      <c r="BI303" s="460"/>
      <c r="BJ303" s="1018"/>
      <c r="BK303" s="460"/>
      <c r="BL303" s="460"/>
      <c r="BM303" s="460"/>
      <c r="BN303" s="460"/>
      <c r="BO303" s="1018"/>
      <c r="BP303" s="1018"/>
      <c r="BQ303" s="1018"/>
      <c r="BR303" s="1018"/>
      <c r="BS303" s="43"/>
    </row>
    <row r="304" spans="1:71" s="24" customFormat="1" ht="15" hidden="1" outlineLevel="1">
      <c r="A304" s="449"/>
      <c r="B304" s="445"/>
      <c r="C304" s="1011"/>
      <c r="D304" s="1011"/>
      <c r="E304" s="1011"/>
      <c r="F304" s="1011"/>
      <c r="G304" s="1011"/>
      <c r="H304" s="857"/>
      <c r="I304" s="857"/>
      <c r="J304" s="857"/>
      <c r="K304" s="857"/>
      <c r="L304" s="1011"/>
      <c r="M304" s="857"/>
      <c r="N304" s="857"/>
      <c r="O304" s="857"/>
      <c r="P304" s="857"/>
      <c r="Q304" s="1011"/>
      <c r="R304" s="857"/>
      <c r="S304" s="857"/>
      <c r="T304" s="857"/>
      <c r="U304" s="857"/>
      <c r="V304" s="1011"/>
      <c r="W304" s="857"/>
      <c r="X304" s="857"/>
      <c r="Y304" s="857"/>
      <c r="Z304" s="857"/>
      <c r="AA304" s="1011"/>
      <c r="AB304" s="857"/>
      <c r="AC304" s="857"/>
      <c r="AD304" s="857"/>
      <c r="AE304" s="857"/>
      <c r="AF304" s="1011"/>
      <c r="AG304" s="857"/>
      <c r="AH304" s="857"/>
      <c r="AI304" s="857"/>
      <c r="AJ304" s="857"/>
      <c r="AK304" s="1011"/>
      <c r="AL304" s="857"/>
      <c r="AM304" s="857"/>
      <c r="AN304" s="857"/>
      <c r="AO304" s="857"/>
      <c r="AP304" s="1011"/>
      <c r="AQ304" s="857"/>
      <c r="AR304" s="857"/>
      <c r="AS304" s="857"/>
      <c r="AT304" s="857"/>
      <c r="AU304" s="1011"/>
      <c r="AV304" s="857"/>
      <c r="AW304" s="857"/>
      <c r="AX304" s="857"/>
      <c r="AY304" s="857"/>
      <c r="AZ304" s="1011"/>
      <c r="BA304" s="857"/>
      <c r="BB304" s="857"/>
      <c r="BC304" s="857"/>
      <c r="BD304" s="857"/>
      <c r="BE304" s="1011"/>
      <c r="BF304" s="857"/>
      <c r="BG304" s="857"/>
      <c r="BH304" s="858"/>
      <c r="BI304" s="857"/>
      <c r="BJ304" s="1011"/>
      <c r="BK304" s="857"/>
      <c r="BL304" s="857"/>
      <c r="BM304" s="857"/>
      <c r="BN304" s="857"/>
      <c r="BO304" s="1011"/>
      <c r="BP304" s="1011"/>
      <c r="BQ304" s="1011"/>
      <c r="BR304" s="1011"/>
      <c r="BS304" s="833"/>
    </row>
    <row r="305" spans="1:71" s="27" customFormat="1" ht="15" hidden="1" outlineLevel="1">
      <c r="A305" s="41" t="s">
        <v>433</v>
      </c>
      <c r="B305" s="434"/>
      <c r="C305" s="984">
        <v>-0.019</v>
      </c>
      <c r="D305" s="984">
        <v>-0.012</v>
      </c>
      <c r="E305" s="984">
        <v>-0.015</v>
      </c>
      <c r="F305" s="984">
        <v>-0.023</v>
      </c>
      <c r="G305" s="984">
        <v>-0.028000000000000001</v>
      </c>
      <c r="H305" s="907">
        <v>-0.075</v>
      </c>
      <c r="I305" s="907">
        <v>-0.0070000000000000001</v>
      </c>
      <c r="J305" s="907">
        <v>-0.0070000000000000001</v>
      </c>
      <c r="K305" s="907">
        <v>-0.0070000000000000001</v>
      </c>
      <c r="L305" s="984">
        <v>-0.024</v>
      </c>
      <c r="M305" s="907">
        <v>-0.075</v>
      </c>
      <c r="N305" s="907">
        <v>-0.035000000000000003</v>
      </c>
      <c r="O305" s="907">
        <v>-0.025999999999999999</v>
      </c>
      <c r="P305" s="907">
        <v>-0.019</v>
      </c>
      <c r="Q305" s="984">
        <v>-0.037999999999999999</v>
      </c>
      <c r="R305" s="907">
        <v>-0.02</v>
      </c>
      <c r="S305" s="907">
        <v>-0.002</v>
      </c>
      <c r="T305" s="907">
        <v>0.005</v>
      </c>
      <c r="U305" s="907">
        <v>0.016</v>
      </c>
      <c r="V305" s="984">
        <v>0</v>
      </c>
      <c r="W305" s="907">
        <v>-0.0030000000000000001</v>
      </c>
      <c r="X305" s="907">
        <v>0</v>
      </c>
      <c r="Y305" s="907">
        <v>0</v>
      </c>
      <c r="Z305" s="907">
        <v>-0.0030000000000000001</v>
      </c>
      <c r="AA305" s="984">
        <v>-0.001</v>
      </c>
      <c r="AB305" s="907">
        <v>-0.02</v>
      </c>
      <c r="AC305" s="907">
        <v>-0.005</v>
      </c>
      <c r="AD305" s="907">
        <v>-0.0060000000000000001</v>
      </c>
      <c r="AE305" s="907">
        <v>-0.010999999999999999</v>
      </c>
      <c r="AF305" s="984">
        <v>-0.010999999999999999</v>
      </c>
      <c r="AG305" s="907">
        <v>-0.028000000000000001</v>
      </c>
      <c r="AH305" s="907">
        <v>-0.005</v>
      </c>
      <c r="AI305" s="907">
        <v>-0.0070000000000000001</v>
      </c>
      <c r="AJ305" s="907">
        <v>-0.012</v>
      </c>
      <c r="AK305" s="984">
        <v>-0.012999999999999999</v>
      </c>
      <c r="AL305" s="907">
        <v>-0.0080000000000000002</v>
      </c>
      <c r="AM305" s="907">
        <v>-0.012999999999999999</v>
      </c>
      <c r="AN305" s="907">
        <v>-0.128</v>
      </c>
      <c r="AO305" s="907">
        <v>-0.0080000000000000002</v>
      </c>
      <c r="AP305" s="984">
        <v>-0.041000000000000002</v>
      </c>
      <c r="AQ305" s="907">
        <v>-0.058999999999999997</v>
      </c>
      <c r="AR305" s="907">
        <v>-0.021999999999999999</v>
      </c>
      <c r="AS305" s="907">
        <v>-0.01</v>
      </c>
      <c r="AT305" s="907">
        <v>0.001</v>
      </c>
      <c r="AU305" s="984">
        <v>-0.021999999999999999</v>
      </c>
      <c r="AV305" s="907">
        <v>-0.001</v>
      </c>
      <c r="AW305" s="907">
        <v>-0.005</v>
      </c>
      <c r="AX305" s="907">
        <v>-0.005</v>
      </c>
      <c r="AY305" s="907">
        <v>-0.002</v>
      </c>
      <c r="AZ305" s="984">
        <v>-0.0030000000000000001</v>
      </c>
      <c r="BA305" s="907">
        <v>-0.0080000000000000002</v>
      </c>
      <c r="BB305" s="907">
        <v>-0.012</v>
      </c>
      <c r="BC305" s="907">
        <v>-0.01</v>
      </c>
      <c r="BD305" s="907">
        <v>-0.010999999999999999</v>
      </c>
      <c r="BE305" s="984">
        <v>-0.01</v>
      </c>
      <c r="BF305" s="907">
        <v>-0.016</v>
      </c>
      <c r="BG305" s="907">
        <v>-0.042000000000000003</v>
      </c>
      <c r="BH305" s="929">
        <v>-0.042999999999999997</v>
      </c>
      <c r="BI305" s="435"/>
      <c r="BJ305" s="982"/>
      <c r="BK305" s="435"/>
      <c r="BL305" s="435"/>
      <c r="BM305" s="435"/>
      <c r="BN305" s="435"/>
      <c r="BO305" s="982"/>
      <c r="BP305" s="982"/>
      <c r="BQ305" s="982"/>
      <c r="BR305" s="982"/>
      <c r="BS305" s="71"/>
    </row>
    <row r="306" spans="1:71" s="27" customFormat="1" ht="15" hidden="1" outlineLevel="1">
      <c r="A306" s="328" t="s">
        <v>434</v>
      </c>
      <c r="B306" s="436"/>
      <c r="C306" s="987">
        <v>0.039</v>
      </c>
      <c r="D306" s="987">
        <v>0.081000000000000003</v>
      </c>
      <c r="E306" s="987">
        <v>0.19600000000000001</v>
      </c>
      <c r="F306" s="987">
        <v>0.13400000000000001</v>
      </c>
      <c r="G306" s="987">
        <v>0.034000000000000002</v>
      </c>
      <c r="H306" s="909">
        <v>0.036999999999999998</v>
      </c>
      <c r="I306" s="909">
        <v>0.107</v>
      </c>
      <c r="J306" s="909">
        <v>0.028000000000000001</v>
      </c>
      <c r="K306" s="909">
        <v>0.017000000000000001</v>
      </c>
      <c r="L306" s="987">
        <v>0.047</v>
      </c>
      <c r="M306" s="909">
        <v>0.035000000000000003</v>
      </c>
      <c r="N306" s="909">
        <v>0.062</v>
      </c>
      <c r="O306" s="909">
        <v>0.025</v>
      </c>
      <c r="P306" s="909">
        <v>0.024</v>
      </c>
      <c r="Q306" s="987">
        <v>0.035999999999999997</v>
      </c>
      <c r="R306" s="909">
        <v>0.084000000000000005</v>
      </c>
      <c r="S306" s="909">
        <v>0.078</v>
      </c>
      <c r="T306" s="909">
        <v>0.0060000000000000001</v>
      </c>
      <c r="U306" s="909">
        <v>0.028000000000000001</v>
      </c>
      <c r="V306" s="987">
        <v>0.049000000000000002</v>
      </c>
      <c r="W306" s="909">
        <v>0.098000000000000004</v>
      </c>
      <c r="X306" s="909">
        <v>0.096000000000000002</v>
      </c>
      <c r="Y306" s="909">
        <v>0.086999999999999994</v>
      </c>
      <c r="Z306" s="909">
        <v>0.186</v>
      </c>
      <c r="AA306" s="987">
        <v>0.11700000000000001</v>
      </c>
      <c r="AB306" s="909">
        <v>0.09</v>
      </c>
      <c r="AC306" s="909">
        <v>0.128</v>
      </c>
      <c r="AD306" s="909">
        <v>0.049000000000000002</v>
      </c>
      <c r="AE306" s="909">
        <v>0.159</v>
      </c>
      <c r="AF306" s="987">
        <v>0.107</v>
      </c>
      <c r="AG306" s="909">
        <v>0.037999999999999999</v>
      </c>
      <c r="AH306" s="909">
        <v>0.060999999999999999</v>
      </c>
      <c r="AI306" s="909">
        <v>0.047</v>
      </c>
      <c r="AJ306" s="909">
        <v>0.012999999999999999</v>
      </c>
      <c r="AK306" s="987">
        <v>0.04</v>
      </c>
      <c r="AL306" s="909">
        <v>0.05</v>
      </c>
      <c r="AM306" s="909">
        <v>0.186</v>
      </c>
      <c r="AN306" s="909">
        <v>0.105</v>
      </c>
      <c r="AO306" s="909">
        <v>0.017999999999999999</v>
      </c>
      <c r="AP306" s="987">
        <v>0.087999999999999995</v>
      </c>
      <c r="AQ306" s="909">
        <v>0.108</v>
      </c>
      <c r="AR306" s="909">
        <v>0.109</v>
      </c>
      <c r="AS306" s="909">
        <v>0.104</v>
      </c>
      <c r="AT306" s="909">
        <v>0.023</v>
      </c>
      <c r="AU306" s="987">
        <v>0.085</v>
      </c>
      <c r="AV306" s="909">
        <v>0.025999999999999999</v>
      </c>
      <c r="AW306" s="909">
        <v>0.156</v>
      </c>
      <c r="AX306" s="909">
        <v>0.084000000000000005</v>
      </c>
      <c r="AY306" s="909">
        <v>0.092999999999999999</v>
      </c>
      <c r="AZ306" s="987">
        <v>0.09</v>
      </c>
      <c r="BA306" s="909">
        <v>0.094</v>
      </c>
      <c r="BB306" s="909">
        <v>0.29099999999999998</v>
      </c>
      <c r="BC306" s="909">
        <v>0.16800000000000001</v>
      </c>
      <c r="BD306" s="909">
        <v>0.02</v>
      </c>
      <c r="BE306" s="987">
        <v>0.14099999999999999</v>
      </c>
      <c r="BF306" s="909">
        <v>0.124</v>
      </c>
      <c r="BG306" s="909">
        <v>0.26400000000000001</v>
      </c>
      <c r="BH306" s="930">
        <v>0.14099999999999999</v>
      </c>
      <c r="BI306" s="437"/>
      <c r="BJ306" s="985"/>
      <c r="BK306" s="437"/>
      <c r="BL306" s="437"/>
      <c r="BM306" s="437"/>
      <c r="BN306" s="437"/>
      <c r="BO306" s="985"/>
      <c r="BP306" s="985"/>
      <c r="BQ306" s="985"/>
      <c r="BR306" s="985"/>
      <c r="BS306" s="71"/>
    </row>
    <row r="307" spans="1:71" s="28" customFormat="1" ht="15" hidden="1" outlineLevel="1">
      <c r="A307" s="40" t="s">
        <v>435</v>
      </c>
      <c r="B307" s="467"/>
      <c r="C307" s="1021">
        <f t="shared" si="648" ref="C307:AM307">C303-C305-C306</f>
        <v>0.92599999999999993</v>
      </c>
      <c r="D307" s="1021">
        <f t="shared" si="648"/>
        <v>0.91400000000000015</v>
      </c>
      <c r="E307" s="1021">
        <f t="shared" si="648"/>
        <v>0.95499999999999985</v>
      </c>
      <c r="F307" s="1021">
        <f t="shared" si="648"/>
        <v>0.90799999999999981</v>
      </c>
      <c r="G307" s="1021">
        <f t="shared" si="648"/>
        <v>0.88300000000000001</v>
      </c>
      <c r="H307" s="43">
        <f t="shared" si="648"/>
        <v>0.874</v>
      </c>
      <c r="I307" s="43">
        <f t="shared" si="648"/>
        <v>0.89799999999999991</v>
      </c>
      <c r="J307" s="43">
        <f t="shared" si="648"/>
        <v>0.84</v>
      </c>
      <c r="K307" s="43">
        <f t="shared" si="648"/>
        <v>0.84299999999999997</v>
      </c>
      <c r="L307" s="1021">
        <f t="shared" si="648"/>
        <v>0.86399999999999999</v>
      </c>
      <c r="M307" s="43">
        <f t="shared" si="648"/>
        <v>0.87499999999999989</v>
      </c>
      <c r="N307" s="43">
        <f t="shared" si="648"/>
        <v>0.88400000000000012</v>
      </c>
      <c r="O307" s="43">
        <f t="shared" si="648"/>
        <v>0.85199999999999998</v>
      </c>
      <c r="P307" s="43">
        <f t="shared" si="648"/>
        <v>0.86199999999999999</v>
      </c>
      <c r="Q307" s="1021">
        <f t="shared" si="648"/>
        <v>0.86799999999999988</v>
      </c>
      <c r="R307" s="43">
        <f t="shared" si="648"/>
        <v>0.87200000000000011</v>
      </c>
      <c r="S307" s="43">
        <f t="shared" si="648"/>
        <v>0.90200000000000002</v>
      </c>
      <c r="T307" s="43">
        <f t="shared" si="648"/>
        <v>0.92400000000000004</v>
      </c>
      <c r="U307" s="43">
        <f t="shared" si="648"/>
        <v>0.93599999999999994</v>
      </c>
      <c r="V307" s="1021">
        <f t="shared" si="648"/>
        <v>0.90899999999999992</v>
      </c>
      <c r="W307" s="43">
        <f t="shared" si="648"/>
        <v>0.90100000000000002</v>
      </c>
      <c r="X307" s="43">
        <f t="shared" si="648"/>
        <v>0.945</v>
      </c>
      <c r="Y307" s="43">
        <f t="shared" si="648"/>
        <v>0.91</v>
      </c>
      <c r="Z307" s="43">
        <f t="shared" si="648"/>
        <v>0.90399999999999991</v>
      </c>
      <c r="AA307" s="1021">
        <f t="shared" si="648"/>
        <v>0.915</v>
      </c>
      <c r="AB307" s="43">
        <f t="shared" si="648"/>
        <v>0.905</v>
      </c>
      <c r="AC307" s="43">
        <f t="shared" si="648"/>
        <v>0.92599999999999982</v>
      </c>
      <c r="AD307" s="43">
        <f t="shared" si="648"/>
        <v>0.92899999999999994</v>
      </c>
      <c r="AE307" s="43">
        <f t="shared" si="648"/>
        <v>0.87799999999999989</v>
      </c>
      <c r="AF307" s="1021">
        <f t="shared" si="648"/>
        <v>0.90999999999999992</v>
      </c>
      <c r="AG307" s="43">
        <f t="shared" si="648"/>
        <v>0.89100000000000001</v>
      </c>
      <c r="AH307" s="43">
        <f t="shared" si="648"/>
        <v>0.94599999999999995</v>
      </c>
      <c r="AI307" s="43">
        <f t="shared" si="648"/>
        <v>0.94</v>
      </c>
      <c r="AJ307" s="43">
        <f t="shared" si="648"/>
        <v>0.88439999999999996</v>
      </c>
      <c r="AK307" s="1021">
        <f t="shared" si="648"/>
        <v>0.915</v>
      </c>
      <c r="AL307" s="43">
        <f t="shared" si="648"/>
        <v>0.84</v>
      </c>
      <c r="AM307" s="43">
        <f t="shared" si="648"/>
        <v>0.83999999999999986</v>
      </c>
      <c r="AN307" s="43">
        <f>AN303-AN305-AN306</f>
        <v>0.88700000000000001</v>
      </c>
      <c r="AO307" s="43">
        <f t="shared" si="649" ref="AO307:AQ307">AO303-AO305-AO306</f>
        <v>0.83099999999999996</v>
      </c>
      <c r="AP307" s="1021">
        <f t="shared" si="649"/>
        <v>0.85000000000000009</v>
      </c>
      <c r="AQ307" s="43">
        <f t="shared" si="649"/>
        <v>0.85399999999999998</v>
      </c>
      <c r="AR307" s="43">
        <f t="shared" si="650" ref="AR307:AW307">AR303-AR305-AR306</f>
        <v>0.90999999999999992</v>
      </c>
      <c r="AS307" s="43">
        <f t="shared" si="650"/>
        <v>0.95200000000000007</v>
      </c>
      <c r="AT307" s="43">
        <f t="shared" si="650"/>
        <v>0.88700000000000001</v>
      </c>
      <c r="AU307" s="1021">
        <f t="shared" si="650"/>
        <v>0.90200000000000002</v>
      </c>
      <c r="AV307" s="43">
        <f t="shared" si="650"/>
        <v>0.92799999999999994</v>
      </c>
      <c r="AW307" s="43">
        <f t="shared" si="650"/>
        <v>0.96099999999999997</v>
      </c>
      <c r="AX307" s="43">
        <f t="shared" si="651" ref="AX307:BC307">AX303-AX305-AX306</f>
        <v>0.99299999999999999</v>
      </c>
      <c r="AY307" s="43">
        <f t="shared" si="651"/>
        <v>0.96199999999999997</v>
      </c>
      <c r="AZ307" s="1021">
        <f t="shared" si="651"/>
        <v>0.96199999999999986</v>
      </c>
      <c r="BA307" s="43">
        <f t="shared" si="651"/>
        <v>0.92900000000000016</v>
      </c>
      <c r="BB307" s="43">
        <f t="shared" si="651"/>
        <v>0.94100000000000006</v>
      </c>
      <c r="BC307" s="43">
        <f t="shared" si="651"/>
        <v>0.94200000000000006</v>
      </c>
      <c r="BD307" s="43">
        <f>BD303-BD305-BD306</f>
        <v>0.85899999999999999</v>
      </c>
      <c r="BE307" s="1021">
        <f>BE303-BE305-BE306</f>
        <v>0.91700000000000004</v>
      </c>
      <c r="BF307" s="43">
        <f>BF303-BF305-BF306</f>
        <v>0.86099999999999999</v>
      </c>
      <c r="BG307" s="43">
        <f>BG303-BG305-BG306</f>
        <v>0.86299999999999999</v>
      </c>
      <c r="BH307" s="758">
        <f>BH303-BH305-BH306</f>
        <v>0.82700000000000007</v>
      </c>
      <c r="BI307" s="460"/>
      <c r="BJ307" s="1018"/>
      <c r="BK307" s="460"/>
      <c r="BL307" s="460"/>
      <c r="BM307" s="460"/>
      <c r="BN307" s="460"/>
      <c r="BO307" s="1018"/>
      <c r="BP307" s="1018"/>
      <c r="BQ307" s="1018"/>
      <c r="BR307" s="1018"/>
      <c r="BS307" s="43"/>
    </row>
    <row r="308" spans="1:71" s="28" customFormat="1" ht="15" hidden="1" outlineLevel="1">
      <c r="A308" s="472"/>
      <c r="B308" s="467"/>
      <c r="C308" s="1018"/>
      <c r="D308" s="1018"/>
      <c r="E308" s="1018"/>
      <c r="F308" s="1018"/>
      <c r="G308" s="1018"/>
      <c r="H308" s="460"/>
      <c r="I308" s="460"/>
      <c r="J308" s="460"/>
      <c r="K308" s="460"/>
      <c r="L308" s="1018"/>
      <c r="M308" s="460"/>
      <c r="N308" s="460"/>
      <c r="O308" s="460"/>
      <c r="P308" s="460"/>
      <c r="Q308" s="1018"/>
      <c r="R308" s="460"/>
      <c r="S308" s="460"/>
      <c r="T308" s="460"/>
      <c r="U308" s="460"/>
      <c r="V308" s="1018"/>
      <c r="W308" s="460"/>
      <c r="X308" s="460"/>
      <c r="Y308" s="460"/>
      <c r="Z308" s="460"/>
      <c r="AA308" s="1018"/>
      <c r="AB308" s="460"/>
      <c r="AC308" s="460"/>
      <c r="AD308" s="460"/>
      <c r="AE308" s="460"/>
      <c r="AF308" s="1018"/>
      <c r="AG308" s="460"/>
      <c r="AH308" s="460"/>
      <c r="AI308" s="460"/>
      <c r="AJ308" s="460"/>
      <c r="AK308" s="1018"/>
      <c r="AL308" s="460"/>
      <c r="AM308" s="460"/>
      <c r="AN308" s="460"/>
      <c r="AO308" s="460"/>
      <c r="AP308" s="1018"/>
      <c r="AQ308" s="460"/>
      <c r="AR308" s="460"/>
      <c r="AS308" s="460"/>
      <c r="AT308" s="460"/>
      <c r="AU308" s="1018"/>
      <c r="AV308" s="460"/>
      <c r="AW308" s="460"/>
      <c r="AX308" s="460"/>
      <c r="AY308" s="460"/>
      <c r="AZ308" s="1018"/>
      <c r="BA308" s="460"/>
      <c r="BB308" s="460"/>
      <c r="BC308" s="460"/>
      <c r="BD308" s="460"/>
      <c r="BE308" s="1018"/>
      <c r="BF308" s="460"/>
      <c r="BG308" s="460"/>
      <c r="BH308" s="757"/>
      <c r="BI308" s="460"/>
      <c r="BJ308" s="1018"/>
      <c r="BK308" s="460"/>
      <c r="BL308" s="460"/>
      <c r="BM308" s="460"/>
      <c r="BN308" s="460"/>
      <c r="BO308" s="1018"/>
      <c r="BP308" s="1018"/>
      <c r="BQ308" s="1018"/>
      <c r="BR308" s="1018"/>
      <c r="BS308" s="43"/>
    </row>
    <row r="309" spans="1:71" s="181" customFormat="1" ht="15" hidden="1" outlineLevel="1">
      <c r="A309" s="826" t="s">
        <v>477</v>
      </c>
      <c r="B309" s="826"/>
      <c r="C309" s="847"/>
      <c r="D309" s="847"/>
      <c r="E309" s="847"/>
      <c r="F309" s="847"/>
      <c r="G309" s="847"/>
      <c r="H309" s="847"/>
      <c r="I309" s="847"/>
      <c r="J309" s="847"/>
      <c r="K309" s="847"/>
      <c r="L309" s="847"/>
      <c r="M309" s="847"/>
      <c r="N309" s="847"/>
      <c r="O309" s="847"/>
      <c r="P309" s="847"/>
      <c r="Q309" s="847"/>
      <c r="R309" s="847"/>
      <c r="S309" s="847"/>
      <c r="T309" s="847"/>
      <c r="U309" s="847"/>
      <c r="V309" s="847"/>
      <c r="W309" s="847"/>
      <c r="X309" s="847"/>
      <c r="Y309" s="847"/>
      <c r="Z309" s="847"/>
      <c r="AA309" s="847"/>
      <c r="AB309" s="847"/>
      <c r="AC309" s="847"/>
      <c r="AD309" s="847"/>
      <c r="AE309" s="847"/>
      <c r="AF309" s="847"/>
      <c r="AG309" s="847"/>
      <c r="AH309" s="847"/>
      <c r="AI309" s="847"/>
      <c r="AJ309" s="847"/>
      <c r="AK309" s="847"/>
      <c r="AL309" s="847"/>
      <c r="AM309" s="847"/>
      <c r="AN309" s="847"/>
      <c r="AO309" s="847"/>
      <c r="AP309" s="847"/>
      <c r="AQ309" s="847"/>
      <c r="AR309" s="847"/>
      <c r="AS309" s="847"/>
      <c r="AT309" s="847"/>
      <c r="AU309" s="847"/>
      <c r="AV309" s="847"/>
      <c r="AW309" s="847"/>
      <c r="AX309" s="847"/>
      <c r="AY309" s="847"/>
      <c r="AZ309" s="847"/>
      <c r="BA309" s="847"/>
      <c r="BB309" s="847"/>
      <c r="BC309" s="847"/>
      <c r="BD309" s="847"/>
      <c r="BE309" s="847"/>
      <c r="BF309" s="847"/>
      <c r="BG309" s="847"/>
      <c r="BH309" s="848"/>
      <c r="BI309" s="847"/>
      <c r="BJ309" s="847"/>
      <c r="BK309" s="847"/>
      <c r="BL309" s="847"/>
      <c r="BM309" s="847"/>
      <c r="BN309" s="847"/>
      <c r="BO309" s="847"/>
      <c r="BP309" s="847"/>
      <c r="BQ309" s="847"/>
      <c r="BR309" s="847"/>
      <c r="BS309" s="423"/>
    </row>
    <row r="310" spans="1:71" s="261" customFormat="1" ht="15" hidden="1" outlineLevel="1">
      <c r="A310" s="264" t="s">
        <v>478</v>
      </c>
      <c r="B310" s="468"/>
      <c r="C310" s="1032">
        <v>7474</v>
      </c>
      <c r="D310" s="1032">
        <v>7877</v>
      </c>
      <c r="E310" s="1032">
        <v>8061</v>
      </c>
      <c r="F310" s="1032">
        <v>7923</v>
      </c>
      <c r="G310" s="1032">
        <v>7534</v>
      </c>
      <c r="H310" s="924">
        <v>1649</v>
      </c>
      <c r="I310" s="924">
        <v>1916</v>
      </c>
      <c r="J310" s="924">
        <v>1959</v>
      </c>
      <c r="K310" s="924">
        <v>1741</v>
      </c>
      <c r="L310" s="993">
        <f>SUM(H310,I310,J310,K310)</f>
        <v>7265</v>
      </c>
      <c r="M310" s="924">
        <v>1676</v>
      </c>
      <c r="N310" s="924">
        <v>1978</v>
      </c>
      <c r="O310" s="924">
        <v>2057</v>
      </c>
      <c r="P310" s="924">
        <v>1851</v>
      </c>
      <c r="Q310" s="993">
        <f>SUM(M310,N310,O310,P310)</f>
        <v>7562</v>
      </c>
      <c r="R310" s="924">
        <v>1936</v>
      </c>
      <c r="S310" s="924">
        <v>2319</v>
      </c>
      <c r="T310" s="924">
        <v>2428</v>
      </c>
      <c r="U310" s="924">
        <v>2208</v>
      </c>
      <c r="V310" s="993">
        <f>SUM(R310,S310,T310,U310)</f>
        <v>8891</v>
      </c>
      <c r="W310" s="924">
        <v>2146</v>
      </c>
      <c r="X310" s="924">
        <v>2513</v>
      </c>
      <c r="Y310" s="924">
        <v>2644</v>
      </c>
      <c r="Z310" s="924">
        <v>2392</v>
      </c>
      <c r="AA310" s="993">
        <f>SUM(W310,X310,Y310,Z310)</f>
        <v>9695</v>
      </c>
      <c r="AB310" s="924">
        <v>2309</v>
      </c>
      <c r="AC310" s="924">
        <v>2717</v>
      </c>
      <c r="AD310" s="924">
        <v>2797</v>
      </c>
      <c r="AE310" s="924">
        <v>2509</v>
      </c>
      <c r="AF310" s="993">
        <f>SUM(AB310,AC310,AD310,AE310)</f>
        <v>10332</v>
      </c>
      <c r="AG310" s="924">
        <v>2447</v>
      </c>
      <c r="AH310" s="924">
        <v>2884</v>
      </c>
      <c r="AI310" s="924">
        <v>2981</v>
      </c>
      <c r="AJ310" s="924">
        <v>2669</v>
      </c>
      <c r="AK310" s="993">
        <f>SUM(AG310,AH310,AI310,AJ310)</f>
        <v>10981</v>
      </c>
      <c r="AL310" s="924">
        <v>2608</v>
      </c>
      <c r="AM310" s="924">
        <v>2854</v>
      </c>
      <c r="AN310" s="924">
        <v>3210</v>
      </c>
      <c r="AO310" s="265">
        <f t="shared" si="652" ref="AO310:AO314">AP310-SUM(AL310,AM310,AN310)</f>
        <v>2847</v>
      </c>
      <c r="AP310" s="1032">
        <v>11519</v>
      </c>
      <c r="AQ310" s="924">
        <v>2797</v>
      </c>
      <c r="AR310" s="924">
        <v>3322</v>
      </c>
      <c r="AS310" s="924">
        <v>3439</v>
      </c>
      <c r="AT310" s="265">
        <f>AU310-SUM(AQ310,AR310,AS310)</f>
        <v>3132</v>
      </c>
      <c r="AU310" s="1032">
        <v>12690</v>
      </c>
      <c r="AV310" s="924">
        <v>3126</v>
      </c>
      <c r="AW310" s="924">
        <v>3714</v>
      </c>
      <c r="AX310" s="924">
        <v>3905</v>
      </c>
      <c r="AY310" s="265">
        <f>AZ310-SUM(AV310,AW310,AX310)</f>
        <v>3528</v>
      </c>
      <c r="AZ310" s="1032">
        <v>14273</v>
      </c>
      <c r="BA310" s="924">
        <v>3509</v>
      </c>
      <c r="BB310" s="924">
        <v>4210</v>
      </c>
      <c r="BC310" s="924">
        <v>4496</v>
      </c>
      <c r="BD310" s="265">
        <f>BE310-SUM(BA310,BB310,BC310)</f>
        <v>4001</v>
      </c>
      <c r="BE310" s="1032">
        <v>16216</v>
      </c>
      <c r="BF310" s="924">
        <v>3851</v>
      </c>
      <c r="BG310" s="924">
        <v>4569</v>
      </c>
      <c r="BH310" s="925">
        <v>4811</v>
      </c>
      <c r="BI310" s="210"/>
      <c r="BJ310" s="994"/>
      <c r="BK310" s="210"/>
      <c r="BL310" s="210"/>
      <c r="BM310" s="210"/>
      <c r="BN310" s="210"/>
      <c r="BO310" s="994"/>
      <c r="BP310" s="994"/>
      <c r="BQ310" s="994"/>
      <c r="BR310" s="994"/>
      <c r="BS310" s="265"/>
    </row>
    <row r="311" spans="1:71" s="261" customFormat="1" ht="15" hidden="1" outlineLevel="1">
      <c r="A311" s="264" t="s">
        <v>479</v>
      </c>
      <c r="B311" s="468"/>
      <c r="C311" s="1032">
        <v>7149</v>
      </c>
      <c r="D311" s="1032">
        <v>7567</v>
      </c>
      <c r="E311" s="1032">
        <v>7745</v>
      </c>
      <c r="F311" s="1032">
        <v>7594</v>
      </c>
      <c r="G311" s="1032">
        <v>7225</v>
      </c>
      <c r="H311" s="924">
        <v>1619</v>
      </c>
      <c r="I311" s="924">
        <v>1893</v>
      </c>
      <c r="J311" s="924">
        <v>1917</v>
      </c>
      <c r="K311" s="924">
        <v>1736</v>
      </c>
      <c r="L311" s="993">
        <f>SUM(H311,I311,J311,K311)</f>
        <v>7165</v>
      </c>
      <c r="M311" s="924">
        <v>1622</v>
      </c>
      <c r="N311" s="924">
        <v>1956</v>
      </c>
      <c r="O311" s="924">
        <v>2036</v>
      </c>
      <c r="P311" s="924">
        <v>1843</v>
      </c>
      <c r="Q311" s="993">
        <f>SUM(M311,N311,O311,P311)</f>
        <v>7457</v>
      </c>
      <c r="R311" s="924">
        <v>1884</v>
      </c>
      <c r="S311" s="924">
        <v>2303</v>
      </c>
      <c r="T311" s="924">
        <v>2401</v>
      </c>
      <c r="U311" s="924">
        <v>2199</v>
      </c>
      <c r="V311" s="993">
        <f>SUM(R311,S311,T311,U311)</f>
        <v>8787</v>
      </c>
      <c r="W311" s="924">
        <v>2096</v>
      </c>
      <c r="X311" s="924">
        <v>2498</v>
      </c>
      <c r="Y311" s="924">
        <v>2615</v>
      </c>
      <c r="Z311" s="924">
        <v>2381</v>
      </c>
      <c r="AA311" s="993">
        <f>SUM(W311,X311,Y311,Z311)</f>
        <v>9590</v>
      </c>
      <c r="AB311" s="924">
        <v>2256</v>
      </c>
      <c r="AC311" s="924">
        <v>2697</v>
      </c>
      <c r="AD311" s="924">
        <v>2770</v>
      </c>
      <c r="AE311" s="924">
        <v>2501</v>
      </c>
      <c r="AF311" s="993">
        <f>SUM(AB311,AC311,AD311,AE311)</f>
        <v>10224</v>
      </c>
      <c r="AG311" s="924">
        <v>2307</v>
      </c>
      <c r="AH311" s="924">
        <v>2866</v>
      </c>
      <c r="AI311" s="924">
        <v>2952</v>
      </c>
      <c r="AJ311" s="924">
        <v>2658</v>
      </c>
      <c r="AK311" s="993">
        <f>SUM(AG311,AH311,AI311,AJ311)</f>
        <v>10783</v>
      </c>
      <c r="AL311" s="924">
        <v>2493</v>
      </c>
      <c r="AM311" s="924">
        <v>2835</v>
      </c>
      <c r="AN311" s="924">
        <v>3184</v>
      </c>
      <c r="AO311" s="265">
        <f t="shared" si="652"/>
        <v>2838</v>
      </c>
      <c r="AP311" s="1032">
        <v>11350</v>
      </c>
      <c r="AQ311" s="924">
        <v>2657</v>
      </c>
      <c r="AR311" s="924">
        <v>3301</v>
      </c>
      <c r="AS311" s="924">
        <v>3409</v>
      </c>
      <c r="AT311" s="265">
        <f>AU311-SUM(AQ311,AR311,AS311)</f>
        <v>3124</v>
      </c>
      <c r="AU311" s="1032">
        <v>12491</v>
      </c>
      <c r="AV311" s="924">
        <v>2983</v>
      </c>
      <c r="AW311" s="924">
        <v>3685</v>
      </c>
      <c r="AX311" s="924">
        <v>3864</v>
      </c>
      <c r="AY311" s="265">
        <f>AZ311-SUM(AV311,AW311,AX311)</f>
        <v>3515</v>
      </c>
      <c r="AZ311" s="1032">
        <v>14047</v>
      </c>
      <c r="BA311" s="924">
        <v>3353</v>
      </c>
      <c r="BB311" s="924">
        <v>4179</v>
      </c>
      <c r="BC311" s="924">
        <v>4410</v>
      </c>
      <c r="BD311" s="265">
        <f>BE311-SUM(BA311,BB311,BC311)</f>
        <v>3987</v>
      </c>
      <c r="BE311" s="1032">
        <v>15929</v>
      </c>
      <c r="BF311" s="924">
        <v>3643</v>
      </c>
      <c r="BG311" s="924">
        <v>4536</v>
      </c>
      <c r="BH311" s="925">
        <v>4728</v>
      </c>
      <c r="BI311" s="210"/>
      <c r="BJ311" s="994"/>
      <c r="BK311" s="210"/>
      <c r="BL311" s="210"/>
      <c r="BM311" s="210"/>
      <c r="BN311" s="210"/>
      <c r="BO311" s="994"/>
      <c r="BP311" s="994"/>
      <c r="BQ311" s="994"/>
      <c r="BR311" s="994"/>
      <c r="BS311" s="265"/>
    </row>
    <row r="312" spans="1:71" s="261" customFormat="1" ht="15" hidden="1" outlineLevel="1">
      <c r="A312" s="264" t="s">
        <v>480</v>
      </c>
      <c r="B312" s="468"/>
      <c r="C312" s="1032">
        <v>7117</v>
      </c>
      <c r="D312" s="1032">
        <v>7349</v>
      </c>
      <c r="E312" s="1032">
        <v>7589</v>
      </c>
      <c r="F312" s="1032">
        <v>7621</v>
      </c>
      <c r="G312" s="1032">
        <v>7324</v>
      </c>
      <c r="H312" s="924">
        <v>1762</v>
      </c>
      <c r="I312" s="924">
        <v>1773</v>
      </c>
      <c r="J312" s="924">
        <v>1796</v>
      </c>
      <c r="K312" s="924">
        <v>1794</v>
      </c>
      <c r="L312" s="993">
        <f>SUM(H312,I312,J312,K312)</f>
        <v>7125</v>
      </c>
      <c r="M312" s="924">
        <v>1764</v>
      </c>
      <c r="N312" s="924">
        <v>1798</v>
      </c>
      <c r="O312" s="924">
        <v>1840</v>
      </c>
      <c r="P312" s="924">
        <v>1866</v>
      </c>
      <c r="Q312" s="993">
        <f>SUM(M312,N312,O312,P312)</f>
        <v>7268</v>
      </c>
      <c r="R312" s="924">
        <v>2015</v>
      </c>
      <c r="S312" s="924">
        <v>2069</v>
      </c>
      <c r="T312" s="924">
        <v>2139</v>
      </c>
      <c r="U312" s="924">
        <v>2196</v>
      </c>
      <c r="V312" s="993">
        <f>SUM(R312,S312,T312,U312)</f>
        <v>8419</v>
      </c>
      <c r="W312" s="924">
        <v>2199</v>
      </c>
      <c r="X312" s="924">
        <v>2272</v>
      </c>
      <c r="Y312" s="924">
        <v>2356</v>
      </c>
      <c r="Z312" s="924">
        <v>2403</v>
      </c>
      <c r="AA312" s="993">
        <f>SUM(W312,X312,Y312,Z312)</f>
        <v>9230</v>
      </c>
      <c r="AB312" s="924">
        <v>2387</v>
      </c>
      <c r="AC312" s="924">
        <v>2453</v>
      </c>
      <c r="AD312" s="924">
        <v>2522</v>
      </c>
      <c r="AE312" s="924">
        <v>2555</v>
      </c>
      <c r="AF312" s="993">
        <f>SUM(AB312,AC312,AD312,AE312)</f>
        <v>9917</v>
      </c>
      <c r="AG312" s="924">
        <v>2507</v>
      </c>
      <c r="AH312" s="924">
        <v>2573</v>
      </c>
      <c r="AI312" s="924">
        <v>2644</v>
      </c>
      <c r="AJ312" s="924">
        <v>2683</v>
      </c>
      <c r="AK312" s="993">
        <f>SUM(AG312,AH312,AI312,AJ312)</f>
        <v>10407</v>
      </c>
      <c r="AL312" s="924">
        <v>2698</v>
      </c>
      <c r="AM312" s="924">
        <v>2527</v>
      </c>
      <c r="AN312" s="924">
        <v>2816</v>
      </c>
      <c r="AO312" s="265">
        <f t="shared" si="652"/>
        <v>2886</v>
      </c>
      <c r="AP312" s="1032">
        <v>10927</v>
      </c>
      <c r="AQ312" s="924">
        <v>2844</v>
      </c>
      <c r="AR312" s="924">
        <v>2960</v>
      </c>
      <c r="AS312" s="924">
        <v>3053</v>
      </c>
      <c r="AT312" s="265">
        <f>AU312-SUM(AQ312,AR312,AS312)</f>
        <v>3126</v>
      </c>
      <c r="AU312" s="1032">
        <v>11983</v>
      </c>
      <c r="AV312" s="924">
        <v>3123</v>
      </c>
      <c r="AW312" s="924">
        <v>3248</v>
      </c>
      <c r="AX312" s="924">
        <v>3385</v>
      </c>
      <c r="AY312" s="265">
        <f>AZ312-SUM(AV312,AW312,AX312)</f>
        <v>3494</v>
      </c>
      <c r="AZ312" s="1032">
        <v>13250</v>
      </c>
      <c r="BA312" s="924">
        <v>3502</v>
      </c>
      <c r="BB312" s="924">
        <v>3661</v>
      </c>
      <c r="BC312" s="924">
        <v>3827</v>
      </c>
      <c r="BD312" s="265">
        <f>BE312-SUM(BA312,BB312,BC312)</f>
        <v>3972</v>
      </c>
      <c r="BE312" s="1032">
        <v>14962</v>
      </c>
      <c r="BF312" s="924">
        <v>4010</v>
      </c>
      <c r="BG312" s="924">
        <v>4098</v>
      </c>
      <c r="BH312" s="925">
        <v>4221</v>
      </c>
      <c r="BI312" s="210"/>
      <c r="BJ312" s="994"/>
      <c r="BK312" s="210"/>
      <c r="BL312" s="210"/>
      <c r="BM312" s="210"/>
      <c r="BN312" s="210"/>
      <c r="BO312" s="994"/>
      <c r="BP312" s="994"/>
      <c r="BQ312" s="994"/>
      <c r="BR312" s="994"/>
      <c r="BS312" s="265"/>
    </row>
    <row r="313" spans="1:71" s="261" customFormat="1" ht="15" hidden="1" outlineLevel="1">
      <c r="A313" s="264" t="s">
        <v>481</v>
      </c>
      <c r="B313" s="468"/>
      <c r="C313" s="1032">
        <v>4624</v>
      </c>
      <c r="D313" s="1032">
        <v>5006</v>
      </c>
      <c r="E313" s="1032">
        <v>6343</v>
      </c>
      <c r="F313" s="1032">
        <v>5505</v>
      </c>
      <c r="G313" s="1032">
        <v>4331</v>
      </c>
      <c r="H313" s="924">
        <v>980</v>
      </c>
      <c r="I313" s="924">
        <v>1261</v>
      </c>
      <c r="J313" s="924">
        <v>1006</v>
      </c>
      <c r="K313" s="924">
        <v>996</v>
      </c>
      <c r="L313" s="993">
        <f>SUM(H313,I313,J313,K313)</f>
        <v>4243</v>
      </c>
      <c r="M313" s="924">
        <v>974</v>
      </c>
      <c r="N313" s="924">
        <v>1117</v>
      </c>
      <c r="O313" s="924">
        <v>1040</v>
      </c>
      <c r="P313" s="924">
        <v>1091</v>
      </c>
      <c r="Q313" s="993">
        <f>SUM(M313,N313,O313,P313)</f>
        <v>4222</v>
      </c>
      <c r="R313" s="924">
        <v>1320</v>
      </c>
      <c r="S313" s="924">
        <v>1425</v>
      </c>
      <c r="T313" s="924">
        <v>1396</v>
      </c>
      <c r="U313" s="924">
        <v>1543</v>
      </c>
      <c r="V313" s="993">
        <f>SUM(R313,S313,T313,U313)</f>
        <v>5684</v>
      </c>
      <c r="W313" s="924">
        <v>1602</v>
      </c>
      <c r="X313" s="924">
        <v>1745</v>
      </c>
      <c r="Y313" s="924">
        <v>1723</v>
      </c>
      <c r="Z313" s="924">
        <v>1977</v>
      </c>
      <c r="AA313" s="993">
        <f>SUM(W313,X313,Y313,Z313)</f>
        <v>7047</v>
      </c>
      <c r="AB313" s="924">
        <v>1688</v>
      </c>
      <c r="AC313" s="924">
        <v>1904</v>
      </c>
      <c r="AD313" s="924">
        <v>1796</v>
      </c>
      <c r="AE313" s="924">
        <v>1960</v>
      </c>
      <c r="AF313" s="993">
        <f>SUM(AB313,AC313,AD313,AE313)</f>
        <v>7348</v>
      </c>
      <c r="AG313" s="924">
        <v>1596</v>
      </c>
      <c r="AH313" s="924">
        <v>1897</v>
      </c>
      <c r="AI313" s="924">
        <v>1899</v>
      </c>
      <c r="AJ313" s="924">
        <v>1684</v>
      </c>
      <c r="AK313" s="993">
        <f>SUM(AG313,AH313,AI313,AJ313)</f>
        <v>7076</v>
      </c>
      <c r="AL313" s="924">
        <v>1671</v>
      </c>
      <c r="AM313" s="924">
        <v>1824</v>
      </c>
      <c r="AN313" s="924">
        <v>1690</v>
      </c>
      <c r="AO313" s="265">
        <f t="shared" si="652"/>
        <v>1670</v>
      </c>
      <c r="AP313" s="1032">
        <v>6855</v>
      </c>
      <c r="AQ313" s="924">
        <v>1808</v>
      </c>
      <c r="AR313" s="924">
        <v>2172</v>
      </c>
      <c r="AS313" s="924">
        <v>2385</v>
      </c>
      <c r="AT313" s="265">
        <f>AU313-SUM(AQ313,AR313,AS313)</f>
        <v>2062</v>
      </c>
      <c r="AU313" s="1032">
        <v>8427</v>
      </c>
      <c r="AV313" s="924">
        <v>2171</v>
      </c>
      <c r="AW313" s="924">
        <v>2774</v>
      </c>
      <c r="AX313" s="924">
        <v>2795</v>
      </c>
      <c r="AY313" s="265">
        <f>AZ313-SUM(AV313,AW313,AX313)</f>
        <v>2829</v>
      </c>
      <c r="AZ313" s="1032">
        <v>10569</v>
      </c>
      <c r="BA313" s="924">
        <v>2672</v>
      </c>
      <c r="BB313" s="924">
        <v>3565</v>
      </c>
      <c r="BC313" s="924">
        <v>3279</v>
      </c>
      <c r="BD313" s="265">
        <f>BE313-SUM(BA313,BB313,BC313)</f>
        <v>2518</v>
      </c>
      <c r="BE313" s="1032">
        <v>12034</v>
      </c>
      <c r="BF313" s="924">
        <v>2896</v>
      </c>
      <c r="BG313" s="924">
        <v>3430</v>
      </c>
      <c r="BH313" s="925">
        <v>2857</v>
      </c>
      <c r="BI313" s="210"/>
      <c r="BJ313" s="994"/>
      <c r="BK313" s="210"/>
      <c r="BL313" s="210"/>
      <c r="BM313" s="210"/>
      <c r="BN313" s="210"/>
      <c r="BO313" s="994"/>
      <c r="BP313" s="994"/>
      <c r="BQ313" s="994"/>
      <c r="BR313" s="994"/>
      <c r="BS313" s="265"/>
    </row>
    <row r="314" spans="1:71" s="261" customFormat="1" ht="15" hidden="1" outlineLevel="1">
      <c r="A314" s="209" t="s">
        <v>482</v>
      </c>
      <c r="B314" s="469"/>
      <c r="C314" s="1033">
        <v>2197</v>
      </c>
      <c r="D314" s="1033">
        <v>2308</v>
      </c>
      <c r="E314" s="1033">
        <v>2353</v>
      </c>
      <c r="F314" s="1033">
        <v>2312</v>
      </c>
      <c r="G314" s="1033">
        <v>2167</v>
      </c>
      <c r="H314" s="927">
        <v>481</v>
      </c>
      <c r="I314" s="927">
        <v>539</v>
      </c>
      <c r="J314" s="927">
        <v>572</v>
      </c>
      <c r="K314" s="927">
        <v>531</v>
      </c>
      <c r="L314" s="995">
        <f>SUM(H314,I314,J314,K314)</f>
        <v>2123</v>
      </c>
      <c r="M314" s="927">
        <v>488</v>
      </c>
      <c r="N314" s="927">
        <v>558</v>
      </c>
      <c r="O314" s="927">
        <v>567</v>
      </c>
      <c r="P314" s="927">
        <v>528</v>
      </c>
      <c r="Q314" s="995">
        <f>SUM(M314,N314,O314,P314)</f>
        <v>2141</v>
      </c>
      <c r="R314" s="927">
        <v>560</v>
      </c>
      <c r="S314" s="927">
        <v>646</v>
      </c>
      <c r="T314" s="927">
        <v>658</v>
      </c>
      <c r="U314" s="927">
        <v>620</v>
      </c>
      <c r="V314" s="995">
        <f>SUM(R314,S314,T314,U314)</f>
        <v>2484</v>
      </c>
      <c r="W314" s="927">
        <v>587</v>
      </c>
      <c r="X314" s="927">
        <v>668</v>
      </c>
      <c r="Y314" s="927">
        <v>681</v>
      </c>
      <c r="Z314" s="927">
        <v>640</v>
      </c>
      <c r="AA314" s="995">
        <f>SUM(W314,X314,Y314,Z314)</f>
        <v>2576</v>
      </c>
      <c r="AB314" s="927">
        <v>627</v>
      </c>
      <c r="AC314" s="927">
        <v>717</v>
      </c>
      <c r="AD314" s="927">
        <v>706</v>
      </c>
      <c r="AE314" s="927">
        <v>661</v>
      </c>
      <c r="AF314" s="995">
        <f>SUM(AB314,AC314,AD314,AE314)</f>
        <v>2711</v>
      </c>
      <c r="AG314" s="927">
        <v>657</v>
      </c>
      <c r="AH314" s="927">
        <v>740</v>
      </c>
      <c r="AI314" s="927">
        <v>754</v>
      </c>
      <c r="AJ314" s="927">
        <v>697</v>
      </c>
      <c r="AK314" s="995">
        <f>SUM(AG314,AH314,AI314,AJ314)</f>
        <v>2848</v>
      </c>
      <c r="AL314" s="927">
        <v>692</v>
      </c>
      <c r="AM314" s="927">
        <v>792</v>
      </c>
      <c r="AN314" s="927">
        <v>808</v>
      </c>
      <c r="AO314" s="186">
        <f t="shared" si="652"/>
        <v>760</v>
      </c>
      <c r="AP314" s="1033">
        <v>3052</v>
      </c>
      <c r="AQ314" s="927">
        <v>755</v>
      </c>
      <c r="AR314" s="927">
        <v>848</v>
      </c>
      <c r="AS314" s="927">
        <v>880</v>
      </c>
      <c r="AT314" s="186">
        <f>AU314-SUM(AQ314,AR314,AS314)</f>
        <v>791</v>
      </c>
      <c r="AU314" s="1033">
        <v>3274</v>
      </c>
      <c r="AV314" s="927">
        <v>809</v>
      </c>
      <c r="AW314" s="927">
        <v>924</v>
      </c>
      <c r="AX314" s="927">
        <v>926</v>
      </c>
      <c r="AY314" s="186">
        <f>AZ314-SUM(AV314,AW314,AX314)</f>
        <v>862</v>
      </c>
      <c r="AZ314" s="1033">
        <v>3521</v>
      </c>
      <c r="BA314" s="927">
        <v>889</v>
      </c>
      <c r="BB314" s="927">
        <v>1004</v>
      </c>
      <c r="BC314" s="927">
        <v>1042</v>
      </c>
      <c r="BD314" s="186">
        <f>BE314-SUM(BA314,BB314,BC314)</f>
        <v>951</v>
      </c>
      <c r="BE314" s="1033">
        <v>3886</v>
      </c>
      <c r="BF314" s="927">
        <v>971</v>
      </c>
      <c r="BG314" s="927">
        <v>1083</v>
      </c>
      <c r="BH314" s="928">
        <v>1135</v>
      </c>
      <c r="BI314" s="205"/>
      <c r="BJ314" s="996"/>
      <c r="BK314" s="205"/>
      <c r="BL314" s="205"/>
      <c r="BM314" s="205"/>
      <c r="BN314" s="205"/>
      <c r="BO314" s="996"/>
      <c r="BP314" s="996"/>
      <c r="BQ314" s="996"/>
      <c r="BR314" s="996"/>
      <c r="BS314" s="265"/>
    </row>
    <row r="315" spans="1:71" s="45" customFormat="1" ht="15" hidden="1" outlineLevel="1">
      <c r="A315" s="197" t="s">
        <v>483</v>
      </c>
      <c r="B315" s="470"/>
      <c r="C315" s="1008">
        <f t="shared" si="653" ref="C315:AM315">C312-C313-C314</f>
        <v>296</v>
      </c>
      <c r="D315" s="1008">
        <f t="shared" si="653"/>
        <v>35</v>
      </c>
      <c r="E315" s="1008">
        <f t="shared" si="653"/>
        <v>-1107</v>
      </c>
      <c r="F315" s="1008">
        <f t="shared" si="653"/>
        <v>-196</v>
      </c>
      <c r="G315" s="1008">
        <f t="shared" si="653"/>
        <v>826</v>
      </c>
      <c r="H315" s="185">
        <f t="shared" si="653"/>
        <v>301</v>
      </c>
      <c r="I315" s="185">
        <f t="shared" si="653"/>
        <v>-27</v>
      </c>
      <c r="J315" s="185">
        <f t="shared" si="653"/>
        <v>218</v>
      </c>
      <c r="K315" s="185">
        <f t="shared" si="653"/>
        <v>267</v>
      </c>
      <c r="L315" s="1008">
        <f t="shared" si="653"/>
        <v>759</v>
      </c>
      <c r="M315" s="185">
        <f t="shared" si="653"/>
        <v>302</v>
      </c>
      <c r="N315" s="185">
        <f t="shared" si="653"/>
        <v>123</v>
      </c>
      <c r="O315" s="185">
        <f t="shared" si="653"/>
        <v>233</v>
      </c>
      <c r="P315" s="185">
        <f t="shared" si="653"/>
        <v>247</v>
      </c>
      <c r="Q315" s="1008">
        <f t="shared" si="653"/>
        <v>905</v>
      </c>
      <c r="R315" s="185">
        <f t="shared" si="653"/>
        <v>135</v>
      </c>
      <c r="S315" s="185">
        <f t="shared" si="653"/>
        <v>-2</v>
      </c>
      <c r="T315" s="185">
        <f t="shared" si="653"/>
        <v>85</v>
      </c>
      <c r="U315" s="185">
        <f t="shared" si="653"/>
        <v>33</v>
      </c>
      <c r="V315" s="1008">
        <f t="shared" si="653"/>
        <v>251</v>
      </c>
      <c r="W315" s="185">
        <f t="shared" si="653"/>
        <v>10</v>
      </c>
      <c r="X315" s="185">
        <f t="shared" si="653"/>
        <v>-141</v>
      </c>
      <c r="Y315" s="185">
        <f t="shared" si="653"/>
        <v>-48</v>
      </c>
      <c r="Z315" s="185">
        <f t="shared" si="653"/>
        <v>-214</v>
      </c>
      <c r="AA315" s="1008">
        <f t="shared" si="653"/>
        <v>-393</v>
      </c>
      <c r="AB315" s="185">
        <f t="shared" si="653"/>
        <v>72</v>
      </c>
      <c r="AC315" s="185">
        <f t="shared" si="653"/>
        <v>-168</v>
      </c>
      <c r="AD315" s="185">
        <f t="shared" si="653"/>
        <v>20</v>
      </c>
      <c r="AE315" s="185">
        <f t="shared" si="653"/>
        <v>-66</v>
      </c>
      <c r="AF315" s="1008">
        <f t="shared" si="653"/>
        <v>-142</v>
      </c>
      <c r="AG315" s="185">
        <f t="shared" si="653"/>
        <v>254</v>
      </c>
      <c r="AH315" s="185">
        <f t="shared" si="653"/>
        <v>-64</v>
      </c>
      <c r="AI315" s="185">
        <f t="shared" si="653"/>
        <v>-9</v>
      </c>
      <c r="AJ315" s="185">
        <f t="shared" si="653"/>
        <v>302</v>
      </c>
      <c r="AK315" s="1008">
        <f t="shared" si="653"/>
        <v>483</v>
      </c>
      <c r="AL315" s="185">
        <f t="shared" si="653"/>
        <v>335</v>
      </c>
      <c r="AM315" s="185">
        <f t="shared" si="653"/>
        <v>-89</v>
      </c>
      <c r="AN315" s="185">
        <f>AN312-AN313-AN314</f>
        <v>318</v>
      </c>
      <c r="AO315" s="185">
        <f t="shared" si="654" ref="AO315:AQ315">AO312-AO313-AO314</f>
        <v>456</v>
      </c>
      <c r="AP315" s="1008">
        <f t="shared" si="654"/>
        <v>1020</v>
      </c>
      <c r="AQ315" s="185">
        <f t="shared" si="654"/>
        <v>281</v>
      </c>
      <c r="AR315" s="185">
        <f t="shared" si="655" ref="AR315:AW315">AR312-AR313-AR314</f>
        <v>-60</v>
      </c>
      <c r="AS315" s="185">
        <f t="shared" si="655"/>
        <v>-212</v>
      </c>
      <c r="AT315" s="185">
        <f t="shared" si="655"/>
        <v>273</v>
      </c>
      <c r="AU315" s="1008">
        <f t="shared" si="655"/>
        <v>282</v>
      </c>
      <c r="AV315" s="185">
        <f t="shared" si="655"/>
        <v>143</v>
      </c>
      <c r="AW315" s="185">
        <f t="shared" si="655"/>
        <v>-450</v>
      </c>
      <c r="AX315" s="185">
        <f t="shared" si="656" ref="AX315:BC315">AX312-AX313-AX314</f>
        <v>-336</v>
      </c>
      <c r="AY315" s="185">
        <f t="shared" si="656"/>
        <v>-197</v>
      </c>
      <c r="AZ315" s="1008">
        <f t="shared" si="656"/>
        <v>-840</v>
      </c>
      <c r="BA315" s="185">
        <f t="shared" si="656"/>
        <v>-59</v>
      </c>
      <c r="BB315" s="185">
        <f t="shared" si="656"/>
        <v>-908</v>
      </c>
      <c r="BC315" s="185">
        <f t="shared" si="656"/>
        <v>-494</v>
      </c>
      <c r="BD315" s="185">
        <f>BD312-BD313-BD314</f>
        <v>503</v>
      </c>
      <c r="BE315" s="1008">
        <f>BE312-BE313-BE314</f>
        <v>-958</v>
      </c>
      <c r="BF315" s="185">
        <f>BF312-BF313-BF314</f>
        <v>143</v>
      </c>
      <c r="BG315" s="185">
        <f>BG312-BG313-BG314</f>
        <v>-415</v>
      </c>
      <c r="BH315" s="749">
        <f>BH312-BH313-BH314</f>
        <v>229</v>
      </c>
      <c r="BI315" s="199"/>
      <c r="BJ315" s="1009"/>
      <c r="BK315" s="199"/>
      <c r="BL315" s="199"/>
      <c r="BM315" s="199"/>
      <c r="BN315" s="199"/>
      <c r="BO315" s="1009"/>
      <c r="BP315" s="1009"/>
      <c r="BQ315" s="1009"/>
      <c r="BR315" s="1009"/>
      <c r="BS315" s="185"/>
    </row>
    <row r="316" spans="1:71" s="45" customFormat="1" ht="15" hidden="1" outlineLevel="1">
      <c r="A316" s="477"/>
      <c r="B316" s="470"/>
      <c r="C316" s="1009"/>
      <c r="D316" s="1009"/>
      <c r="E316" s="1009"/>
      <c r="F316" s="1009"/>
      <c r="G316" s="1009"/>
      <c r="H316" s="199"/>
      <c r="I316" s="199"/>
      <c r="J316" s="199"/>
      <c r="K316" s="199"/>
      <c r="L316" s="1009"/>
      <c r="M316" s="199"/>
      <c r="N316" s="199"/>
      <c r="O316" s="199"/>
      <c r="P316" s="199"/>
      <c r="Q316" s="1009"/>
      <c r="R316" s="199"/>
      <c r="S316" s="199"/>
      <c r="T316" s="199"/>
      <c r="U316" s="199"/>
      <c r="V316" s="1009"/>
      <c r="W316" s="199"/>
      <c r="X316" s="199"/>
      <c r="Y316" s="199"/>
      <c r="Z316" s="199"/>
      <c r="AA316" s="1009"/>
      <c r="AB316" s="199"/>
      <c r="AC316" s="199"/>
      <c r="AD316" s="199"/>
      <c r="AE316" s="199"/>
      <c r="AF316" s="1009"/>
      <c r="AG316" s="199"/>
      <c r="AH316" s="199"/>
      <c r="AI316" s="199"/>
      <c r="AJ316" s="199"/>
      <c r="AK316" s="1009"/>
      <c r="AL316" s="199"/>
      <c r="AM316" s="199"/>
      <c r="AN316" s="199"/>
      <c r="AO316" s="199"/>
      <c r="AP316" s="1009"/>
      <c r="AQ316" s="199"/>
      <c r="AR316" s="199"/>
      <c r="AS316" s="199"/>
      <c r="AT316" s="199"/>
      <c r="AU316" s="1009"/>
      <c r="AV316" s="199"/>
      <c r="AW316" s="199"/>
      <c r="AX316" s="199"/>
      <c r="AY316" s="199"/>
      <c r="AZ316" s="1009"/>
      <c r="BA316" s="199"/>
      <c r="BB316" s="199"/>
      <c r="BC316" s="199"/>
      <c r="BD316" s="199"/>
      <c r="BE316" s="1009"/>
      <c r="BF316" s="199"/>
      <c r="BG316" s="199"/>
      <c r="BH316" s="554"/>
      <c r="BI316" s="199"/>
      <c r="BJ316" s="1009"/>
      <c r="BK316" s="199"/>
      <c r="BL316" s="199"/>
      <c r="BM316" s="199"/>
      <c r="BN316" s="199"/>
      <c r="BO316" s="1009"/>
      <c r="BP316" s="1009"/>
      <c r="BQ316" s="1009"/>
      <c r="BR316" s="1009"/>
      <c r="BS316" s="185"/>
    </row>
    <row r="317" spans="1:71" s="261" customFormat="1" ht="15" hidden="1" outlineLevel="1">
      <c r="A317" s="393" t="s">
        <v>484</v>
      </c>
      <c r="B317" s="468"/>
      <c r="C317" s="1032">
        <v>2480</v>
      </c>
      <c r="D317" s="1032">
        <v>2547</v>
      </c>
      <c r="E317" s="1032">
        <v>2571</v>
      </c>
      <c r="F317" s="1032">
        <v>2361</v>
      </c>
      <c r="G317" s="1032">
        <v>2091</v>
      </c>
      <c r="H317" s="924">
        <v>2068</v>
      </c>
      <c r="I317" s="924">
        <v>2068</v>
      </c>
      <c r="J317" s="924">
        <v>2083</v>
      </c>
      <c r="K317" s="924">
        <v>2097</v>
      </c>
      <c r="L317" s="993">
        <f>K317</f>
        <v>2097</v>
      </c>
      <c r="M317" s="924">
        <v>2125</v>
      </c>
      <c r="N317" s="924">
        <v>2166</v>
      </c>
      <c r="O317" s="924">
        <v>2224</v>
      </c>
      <c r="P317" s="924">
        <v>2283</v>
      </c>
      <c r="Q317" s="993">
        <f>P317</f>
        <v>2283</v>
      </c>
      <c r="R317" s="924">
        <v>2630</v>
      </c>
      <c r="S317" s="924">
        <v>2704</v>
      </c>
      <c r="T317" s="924">
        <v>2788</v>
      </c>
      <c r="U317" s="924">
        <v>2871</v>
      </c>
      <c r="V317" s="993">
        <f>U317</f>
        <v>2871</v>
      </c>
      <c r="W317" s="924">
        <v>2929</v>
      </c>
      <c r="X317" s="924">
        <v>2962</v>
      </c>
      <c r="Y317" s="924">
        <v>2979</v>
      </c>
      <c r="Z317" s="924">
        <v>2983</v>
      </c>
      <c r="AA317" s="993">
        <f>Z317</f>
        <v>2983</v>
      </c>
      <c r="AB317" s="924">
        <v>2976</v>
      </c>
      <c r="AC317" s="924">
        <v>2981</v>
      </c>
      <c r="AD317" s="924">
        <v>2986</v>
      </c>
      <c r="AE317" s="924">
        <v>2983</v>
      </c>
      <c r="AF317" s="993">
        <f>AE317</f>
        <v>2983</v>
      </c>
      <c r="AG317" s="924">
        <v>2981</v>
      </c>
      <c r="AH317" s="924">
        <v>2980</v>
      </c>
      <c r="AI317" s="924">
        <v>2979</v>
      </c>
      <c r="AJ317" s="924">
        <v>2973</v>
      </c>
      <c r="AK317" s="993">
        <f>AJ317</f>
        <v>2973</v>
      </c>
      <c r="AL317" s="924">
        <v>2970</v>
      </c>
      <c r="AM317" s="924">
        <v>2993</v>
      </c>
      <c r="AN317" s="924">
        <v>3015</v>
      </c>
      <c r="AO317" s="924">
        <v>3029</v>
      </c>
      <c r="AP317" s="993">
        <f>AO317</f>
        <v>3029</v>
      </c>
      <c r="AQ317" s="924">
        <v>3056</v>
      </c>
      <c r="AR317" s="924">
        <v>3098</v>
      </c>
      <c r="AS317" s="924">
        <v>3141</v>
      </c>
      <c r="AT317" s="924">
        <v>3179</v>
      </c>
      <c r="AU317" s="993">
        <f>AT317</f>
        <v>3179</v>
      </c>
      <c r="AV317" s="924">
        <v>3212</v>
      </c>
      <c r="AW317" s="924">
        <v>3243</v>
      </c>
      <c r="AX317" s="924">
        <v>3283</v>
      </c>
      <c r="AY317" s="924">
        <v>3278</v>
      </c>
      <c r="AZ317" s="993">
        <f>AY317</f>
        <v>3278</v>
      </c>
      <c r="BA317" s="924">
        <v>3248</v>
      </c>
      <c r="BB317" s="924">
        <v>3225</v>
      </c>
      <c r="BC317" s="924">
        <v>3223</v>
      </c>
      <c r="BD317" s="924">
        <v>3223</v>
      </c>
      <c r="BE317" s="993">
        <f>BD317</f>
        <v>3223</v>
      </c>
      <c r="BF317" s="924">
        <v>3212</v>
      </c>
      <c r="BG317" s="924">
        <v>3180</v>
      </c>
      <c r="BH317" s="925">
        <v>3158</v>
      </c>
      <c r="BI317" s="210"/>
      <c r="BJ317" s="994"/>
      <c r="BK317" s="210"/>
      <c r="BL317" s="210"/>
      <c r="BM317" s="210"/>
      <c r="BN317" s="210"/>
      <c r="BO317" s="994"/>
      <c r="BP317" s="994"/>
      <c r="BQ317" s="994"/>
      <c r="BR317" s="994"/>
      <c r="BS317" s="265"/>
    </row>
    <row r="318" spans="1:71" s="261" customFormat="1" ht="15" hidden="1" outlineLevel="1">
      <c r="A318" s="393" t="s">
        <v>485</v>
      </c>
      <c r="B318" s="468"/>
      <c r="C318" s="1032">
        <v>4985</v>
      </c>
      <c r="D318" s="1032">
        <v>5165</v>
      </c>
      <c r="E318" s="1032">
        <v>5225</v>
      </c>
      <c r="F318" s="1032">
        <v>4672</v>
      </c>
      <c r="G318" s="1032">
        <v>4294</v>
      </c>
      <c r="H318" s="924">
        <v>4232</v>
      </c>
      <c r="I318" s="924">
        <v>4199</v>
      </c>
      <c r="J318" s="924">
        <v>4164</v>
      </c>
      <c r="K318" s="924">
        <v>4128</v>
      </c>
      <c r="L318" s="993">
        <f>K318</f>
        <v>4128</v>
      </c>
      <c r="M318" s="924">
        <v>4107</v>
      </c>
      <c r="N318" s="924">
        <v>4121</v>
      </c>
      <c r="O318" s="924">
        <v>4145</v>
      </c>
      <c r="P318" s="924">
        <v>4158</v>
      </c>
      <c r="Q318" s="993">
        <f>P318</f>
        <v>4158</v>
      </c>
      <c r="R318" s="924">
        <v>4474</v>
      </c>
      <c r="S318" s="924">
        <v>4531</v>
      </c>
      <c r="T318" s="924">
        <v>4564</v>
      </c>
      <c r="U318" s="924">
        <v>4591</v>
      </c>
      <c r="V318" s="993">
        <f>U318</f>
        <v>4591</v>
      </c>
      <c r="W318" s="924">
        <v>4639</v>
      </c>
      <c r="X318" s="924">
        <v>4702</v>
      </c>
      <c r="Y318" s="924">
        <v>4773</v>
      </c>
      <c r="Z318" s="924">
        <v>4826</v>
      </c>
      <c r="AA318" s="993">
        <f>Z318</f>
        <v>4826</v>
      </c>
      <c r="AB318" s="924">
        <v>4879</v>
      </c>
      <c r="AC318" s="924">
        <v>4961</v>
      </c>
      <c r="AD318" s="924">
        <v>5037</v>
      </c>
      <c r="AE318" s="924">
        <v>5087</v>
      </c>
      <c r="AF318" s="993">
        <f>AE318</f>
        <v>5087</v>
      </c>
      <c r="AG318" s="924">
        <v>5163</v>
      </c>
      <c r="AH318" s="924">
        <v>5263</v>
      </c>
      <c r="AI318" s="924">
        <v>5361</v>
      </c>
      <c r="AJ318" s="924">
        <v>5444</v>
      </c>
      <c r="AK318" s="993">
        <f>AJ318</f>
        <v>5444</v>
      </c>
      <c r="AL318" s="924">
        <v>5534</v>
      </c>
      <c r="AM318" s="924">
        <v>5679</v>
      </c>
      <c r="AN318" s="924">
        <v>5790</v>
      </c>
      <c r="AO318" s="924">
        <v>5858</v>
      </c>
      <c r="AP318" s="993">
        <f>AO318</f>
        <v>5858</v>
      </c>
      <c r="AQ318" s="924">
        <v>5944</v>
      </c>
      <c r="AR318" s="924">
        <v>6076</v>
      </c>
      <c r="AS318" s="924">
        <v>6168</v>
      </c>
      <c r="AT318" s="924">
        <v>6230</v>
      </c>
      <c r="AU318" s="993">
        <f>AT318</f>
        <v>6230</v>
      </c>
      <c r="AV318" s="924">
        <v>6284</v>
      </c>
      <c r="AW318" s="924">
        <v>6338</v>
      </c>
      <c r="AX318" s="924">
        <v>6367</v>
      </c>
      <c r="AY318" s="924">
        <v>6375</v>
      </c>
      <c r="AZ318" s="993">
        <f>AY318</f>
        <v>6375</v>
      </c>
      <c r="BA318" s="924">
        <v>6355</v>
      </c>
      <c r="BB318" s="924">
        <v>6361</v>
      </c>
      <c r="BC318" s="924">
        <v>6348</v>
      </c>
      <c r="BD318" s="924">
        <v>6290</v>
      </c>
      <c r="BE318" s="993">
        <f>BD318</f>
        <v>6290</v>
      </c>
      <c r="BF318" s="924">
        <v>6235</v>
      </c>
      <c r="BG318" s="924">
        <v>6167</v>
      </c>
      <c r="BH318" s="925">
        <v>6106</v>
      </c>
      <c r="BI318" s="210"/>
      <c r="BJ318" s="994"/>
      <c r="BK318" s="210"/>
      <c r="BL318" s="210"/>
      <c r="BM318" s="210"/>
      <c r="BN318" s="210"/>
      <c r="BO318" s="994"/>
      <c r="BP318" s="994"/>
      <c r="BQ318" s="994"/>
      <c r="BR318" s="994"/>
      <c r="BS318" s="265"/>
    </row>
    <row r="319" spans="1:71" s="28" customFormat="1" ht="15" hidden="1" outlineLevel="1">
      <c r="A319" s="472"/>
      <c r="B319" s="467"/>
      <c r="C319" s="1018"/>
      <c r="D319" s="1018"/>
      <c r="E319" s="1018"/>
      <c r="F319" s="1018"/>
      <c r="G319" s="1018"/>
      <c r="H319" s="460"/>
      <c r="I319" s="460"/>
      <c r="J319" s="460"/>
      <c r="K319" s="460"/>
      <c r="L319" s="1018"/>
      <c r="M319" s="460"/>
      <c r="N319" s="460"/>
      <c r="O319" s="460"/>
      <c r="P319" s="460"/>
      <c r="Q319" s="1018"/>
      <c r="R319" s="460"/>
      <c r="S319" s="460"/>
      <c r="T319" s="460"/>
      <c r="U319" s="460"/>
      <c r="V319" s="1018"/>
      <c r="W319" s="460"/>
      <c r="X319" s="460"/>
      <c r="Y319" s="460"/>
      <c r="Z319" s="460"/>
      <c r="AA319" s="1018"/>
      <c r="AB319" s="460"/>
      <c r="AC319" s="460"/>
      <c r="AD319" s="460"/>
      <c r="AE319" s="460"/>
      <c r="AF319" s="1018"/>
      <c r="AG319" s="460"/>
      <c r="AH319" s="460"/>
      <c r="AI319" s="460"/>
      <c r="AJ319" s="460"/>
      <c r="AK319" s="1018"/>
      <c r="AL319" s="460"/>
      <c r="AM319" s="460"/>
      <c r="AN319" s="460"/>
      <c r="AO319" s="460"/>
      <c r="AP319" s="1018"/>
      <c r="AQ319" s="460"/>
      <c r="AR319" s="460"/>
      <c r="AS319" s="460"/>
      <c r="AT319" s="460"/>
      <c r="AU319" s="1018"/>
      <c r="AV319" s="460"/>
      <c r="AW319" s="460"/>
      <c r="AX319" s="460"/>
      <c r="AY319" s="460"/>
      <c r="AZ319" s="1018"/>
      <c r="BA319" s="460"/>
      <c r="BB319" s="460"/>
      <c r="BC319" s="460"/>
      <c r="BD319" s="460"/>
      <c r="BE319" s="1018"/>
      <c r="BF319" s="460"/>
      <c r="BG319" s="460"/>
      <c r="BH319" s="757"/>
      <c r="BI319" s="460"/>
      <c r="BJ319" s="1018"/>
      <c r="BK319" s="460"/>
      <c r="BL319" s="460"/>
      <c r="BM319" s="460"/>
      <c r="BN319" s="460"/>
      <c r="BO319" s="1018"/>
      <c r="BP319" s="1018"/>
      <c r="BQ319" s="1018"/>
      <c r="BR319" s="1018"/>
      <c r="BS319" s="43"/>
    </row>
    <row r="320" spans="1:71" s="181" customFormat="1" ht="15" hidden="1" outlineLevel="1">
      <c r="A320" s="826" t="s">
        <v>493</v>
      </c>
      <c r="B320" s="826"/>
      <c r="C320" s="847"/>
      <c r="D320" s="847"/>
      <c r="E320" s="847"/>
      <c r="F320" s="847"/>
      <c r="G320" s="847"/>
      <c r="H320" s="847"/>
      <c r="I320" s="847"/>
      <c r="J320" s="847"/>
      <c r="K320" s="847"/>
      <c r="L320" s="847"/>
      <c r="M320" s="847"/>
      <c r="N320" s="847"/>
      <c r="O320" s="847"/>
      <c r="P320" s="847"/>
      <c r="Q320" s="847"/>
      <c r="R320" s="847"/>
      <c r="S320" s="847"/>
      <c r="T320" s="847"/>
      <c r="U320" s="847"/>
      <c r="V320" s="847"/>
      <c r="W320" s="847"/>
      <c r="X320" s="847"/>
      <c r="Y320" s="847"/>
      <c r="Z320" s="847"/>
      <c r="AA320" s="847"/>
      <c r="AB320" s="847"/>
      <c r="AC320" s="847"/>
      <c r="AD320" s="847"/>
      <c r="AE320" s="847"/>
      <c r="AF320" s="847"/>
      <c r="AG320" s="847"/>
      <c r="AH320" s="847"/>
      <c r="AI320" s="847"/>
      <c r="AJ320" s="847"/>
      <c r="AK320" s="847"/>
      <c r="AL320" s="847" t="s">
        <v>544</v>
      </c>
      <c r="AM320" s="847" t="s">
        <v>544</v>
      </c>
      <c r="AN320" s="847" t="s">
        <v>544</v>
      </c>
      <c r="AO320" s="847" t="s">
        <v>544</v>
      </c>
      <c r="AP320" s="847" t="s">
        <v>544</v>
      </c>
      <c r="AQ320" s="847"/>
      <c r="AR320" s="847"/>
      <c r="AS320" s="847"/>
      <c r="AT320" s="847"/>
      <c r="AU320" s="847"/>
      <c r="AV320" s="847"/>
      <c r="AW320" s="847"/>
      <c r="AX320" s="847"/>
      <c r="AY320" s="847"/>
      <c r="AZ320" s="847"/>
      <c r="BA320" s="847"/>
      <c r="BB320" s="847"/>
      <c r="BC320" s="847"/>
      <c r="BD320" s="847"/>
      <c r="BE320" s="847"/>
      <c r="BF320" s="847"/>
      <c r="BG320" s="847"/>
      <c r="BH320" s="848"/>
      <c r="BI320" s="847"/>
      <c r="BJ320" s="847"/>
      <c r="BK320" s="847"/>
      <c r="BL320" s="847"/>
      <c r="BM320" s="847"/>
      <c r="BN320" s="847"/>
      <c r="BO320" s="847"/>
      <c r="BP320" s="847"/>
      <c r="BQ320" s="847"/>
      <c r="BR320" s="847"/>
      <c r="BS320" s="423"/>
    </row>
    <row r="321" spans="1:71" s="261" customFormat="1" ht="15" hidden="1" outlineLevel="1">
      <c r="A321" s="211" t="s">
        <v>486</v>
      </c>
      <c r="B321" s="468"/>
      <c r="C321" s="994"/>
      <c r="D321" s="994"/>
      <c r="E321" s="994"/>
      <c r="F321" s="994"/>
      <c r="G321" s="994"/>
      <c r="H321" s="210"/>
      <c r="I321" s="210"/>
      <c r="J321" s="210"/>
      <c r="K321" s="210"/>
      <c r="L321" s="994"/>
      <c r="M321" s="210"/>
      <c r="N321" s="210"/>
      <c r="O321" s="210"/>
      <c r="P321" s="210"/>
      <c r="Q321" s="994"/>
      <c r="R321" s="924">
        <v>932</v>
      </c>
      <c r="S321" s="924">
        <v>1018</v>
      </c>
      <c r="T321" s="924">
        <v>1095</v>
      </c>
      <c r="U321" s="924">
        <v>1058</v>
      </c>
      <c r="V321" s="993">
        <f>SUM(R321,S321,T321,U321)</f>
        <v>4103</v>
      </c>
      <c r="W321" s="924">
        <v>1087</v>
      </c>
      <c r="X321" s="924">
        <v>1159</v>
      </c>
      <c r="Y321" s="924">
        <v>1228</v>
      </c>
      <c r="Z321" s="924">
        <v>1172</v>
      </c>
      <c r="AA321" s="993">
        <f>SUM(W321,X321,Y321,Z321)</f>
        <v>4646</v>
      </c>
      <c r="AB321" s="924">
        <v>1183</v>
      </c>
      <c r="AC321" s="924">
        <v>1258</v>
      </c>
      <c r="AD321" s="924">
        <v>1305</v>
      </c>
      <c r="AE321" s="924">
        <v>1226</v>
      </c>
      <c r="AF321" s="993">
        <f>SUM(AB321,AC321,AD321,AE321)</f>
        <v>4972</v>
      </c>
      <c r="AG321" s="924">
        <v>1224</v>
      </c>
      <c r="AH321" s="924">
        <v>1300</v>
      </c>
      <c r="AI321" s="924">
        <v>1347</v>
      </c>
      <c r="AJ321" s="924">
        <v>1253</v>
      </c>
      <c r="AK321" s="993">
        <f>SUM(AG321,AH321,AI321,AJ321)</f>
        <v>5124</v>
      </c>
      <c r="AL321" s="924">
        <v>1333</v>
      </c>
      <c r="AM321" s="924">
        <v>1204</v>
      </c>
      <c r="AN321" s="924">
        <v>1484</v>
      </c>
      <c r="AO321" s="924">
        <v>1348</v>
      </c>
      <c r="AP321" s="993">
        <f>SUM(AL321,AM321,AN321,AO321)</f>
        <v>5369</v>
      </c>
      <c r="AQ321" s="924">
        <v>1375</v>
      </c>
      <c r="AR321" s="924">
        <v>1467</v>
      </c>
      <c r="AS321" s="924">
        <v>1529</v>
      </c>
      <c r="AT321" s="265">
        <f>AU321-SUM(AQ321,AR321,AS321)</f>
        <v>1456</v>
      </c>
      <c r="AU321" s="1032">
        <v>5827</v>
      </c>
      <c r="AV321" s="924">
        <v>1496</v>
      </c>
      <c r="AW321" s="924">
        <v>1629</v>
      </c>
      <c r="AX321" s="924">
        <v>1743</v>
      </c>
      <c r="AY321" s="265">
        <f>AZ321-SUM(AV321,AW321,AX321)</f>
        <v>1614</v>
      </c>
      <c r="AZ321" s="1032">
        <v>6482</v>
      </c>
      <c r="BA321" s="924">
        <v>1654</v>
      </c>
      <c r="BB321" s="924">
        <v>1823</v>
      </c>
      <c r="BC321" s="924">
        <v>2022</v>
      </c>
      <c r="BD321" s="265">
        <f>BE321-SUM(BA321,BB321,BC321)</f>
        <v>1831</v>
      </c>
      <c r="BE321" s="1032">
        <v>7330</v>
      </c>
      <c r="BF321" s="924">
        <v>1859</v>
      </c>
      <c r="BG321" s="924">
        <v>2001</v>
      </c>
      <c r="BH321" s="925">
        <v>2138</v>
      </c>
      <c r="BI321" s="210"/>
      <c r="BJ321" s="994"/>
      <c r="BK321" s="210"/>
      <c r="BL321" s="210"/>
      <c r="BM321" s="210"/>
      <c r="BN321" s="210"/>
      <c r="BO321" s="994"/>
      <c r="BP321" s="994"/>
      <c r="BQ321" s="994"/>
      <c r="BR321" s="994"/>
      <c r="BS321" s="265"/>
    </row>
    <row r="322" spans="1:71" s="261" customFormat="1" ht="15" hidden="1" outlineLevel="1">
      <c r="A322" s="212" t="s">
        <v>487</v>
      </c>
      <c r="B322" s="469"/>
      <c r="C322" s="996"/>
      <c r="D322" s="996"/>
      <c r="E322" s="996"/>
      <c r="F322" s="996"/>
      <c r="G322" s="996"/>
      <c r="H322" s="205"/>
      <c r="I322" s="205"/>
      <c r="J322" s="205"/>
      <c r="K322" s="205"/>
      <c r="L322" s="996"/>
      <c r="M322" s="205"/>
      <c r="N322" s="205"/>
      <c r="O322" s="205"/>
      <c r="P322" s="205"/>
      <c r="Q322" s="996"/>
      <c r="R322" s="927">
        <v>760</v>
      </c>
      <c r="S322" s="927">
        <v>1036</v>
      </c>
      <c r="T322" s="927">
        <v>1058</v>
      </c>
      <c r="U322" s="927">
        <v>918</v>
      </c>
      <c r="V322" s="995">
        <f>SUM(R322,S322,T322,U322)</f>
        <v>3772</v>
      </c>
      <c r="W322" s="927">
        <v>794</v>
      </c>
      <c r="X322" s="927">
        <v>1077</v>
      </c>
      <c r="Y322" s="927">
        <v>1107</v>
      </c>
      <c r="Z322" s="927">
        <v>955</v>
      </c>
      <c r="AA322" s="995">
        <f>SUM(W322,X322,Y322,Z322)</f>
        <v>3933</v>
      </c>
      <c r="AB322" s="927">
        <v>832</v>
      </c>
      <c r="AC322" s="927">
        <v>1137</v>
      </c>
      <c r="AD322" s="927">
        <v>1168</v>
      </c>
      <c r="AE322" s="927">
        <v>1011</v>
      </c>
      <c r="AF322" s="995">
        <f>SUM(AB322,AC322,AD322,AE322)</f>
        <v>4148</v>
      </c>
      <c r="AG322" s="927">
        <v>837</v>
      </c>
      <c r="AH322" s="927">
        <v>1258</v>
      </c>
      <c r="AI322" s="927">
        <v>1300</v>
      </c>
      <c r="AJ322" s="927">
        <v>1145</v>
      </c>
      <c r="AK322" s="995">
        <f>SUM(AG322,AH322,AI322,AJ322)</f>
        <v>4540</v>
      </c>
      <c r="AL322" s="927">
        <v>1017</v>
      </c>
      <c r="AM322" s="927">
        <v>1458</v>
      </c>
      <c r="AN322" s="927">
        <v>1524</v>
      </c>
      <c r="AO322" s="927">
        <v>1330</v>
      </c>
      <c r="AP322" s="995">
        <f>SUM(AL322,AM322,AN322,AO322)</f>
        <v>5329</v>
      </c>
      <c r="AQ322" s="927">
        <v>1144</v>
      </c>
      <c r="AR322" s="927">
        <v>1634</v>
      </c>
      <c r="AS322" s="927">
        <v>1698</v>
      </c>
      <c r="AT322" s="186">
        <f>AU322-SUM(AQ322,AR322,AS322)</f>
        <v>1504</v>
      </c>
      <c r="AU322" s="1033">
        <v>5980</v>
      </c>
      <c r="AV322" s="927">
        <v>1344</v>
      </c>
      <c r="AW322" s="927">
        <v>1868</v>
      </c>
      <c r="AX322" s="927">
        <v>1952</v>
      </c>
      <c r="AY322" s="186">
        <f>AZ322-SUM(AV322,AW322,AX322)</f>
        <v>1752</v>
      </c>
      <c r="AZ322" s="1033">
        <v>6916</v>
      </c>
      <c r="BA322" s="927">
        <v>1565</v>
      </c>
      <c r="BB322" s="927">
        <v>2173</v>
      </c>
      <c r="BC322" s="927">
        <v>2216</v>
      </c>
      <c r="BD322" s="186">
        <f>BE322-SUM(BA322,BB322,BC322)</f>
        <v>1995</v>
      </c>
      <c r="BE322" s="1033">
        <v>7949</v>
      </c>
      <c r="BF322" s="927">
        <v>1635</v>
      </c>
      <c r="BG322" s="927">
        <v>2347</v>
      </c>
      <c r="BH322" s="928">
        <v>2410</v>
      </c>
      <c r="BI322" s="205"/>
      <c r="BJ322" s="996"/>
      <c r="BK322" s="205"/>
      <c r="BL322" s="205"/>
      <c r="BM322" s="205"/>
      <c r="BN322" s="205"/>
      <c r="BO322" s="996"/>
      <c r="BP322" s="996"/>
      <c r="BQ322" s="996"/>
      <c r="BR322" s="996"/>
      <c r="BS322" s="265"/>
    </row>
    <row r="323" spans="1:71" s="261" customFormat="1" ht="15" hidden="1" outlineLevel="1">
      <c r="A323" s="387" t="s">
        <v>488</v>
      </c>
      <c r="B323" s="468"/>
      <c r="C323" s="994"/>
      <c r="D323" s="994"/>
      <c r="E323" s="994"/>
      <c r="F323" s="994"/>
      <c r="G323" s="994"/>
      <c r="H323" s="210"/>
      <c r="I323" s="210"/>
      <c r="J323" s="210"/>
      <c r="K323" s="210"/>
      <c r="L323" s="994"/>
      <c r="M323" s="210"/>
      <c r="N323" s="210"/>
      <c r="O323" s="210"/>
      <c r="P323" s="210"/>
      <c r="Q323" s="994"/>
      <c r="R323" s="265">
        <f t="shared" si="657" ref="R323:AM323">SUM(R321:R322)</f>
        <v>1692</v>
      </c>
      <c r="S323" s="265">
        <f t="shared" si="657"/>
        <v>2054</v>
      </c>
      <c r="T323" s="265">
        <f t="shared" si="657"/>
        <v>2153</v>
      </c>
      <c r="U323" s="265">
        <f t="shared" si="657"/>
        <v>1976</v>
      </c>
      <c r="V323" s="993">
        <f t="shared" si="657"/>
        <v>7875</v>
      </c>
      <c r="W323" s="265">
        <f t="shared" si="657"/>
        <v>1881</v>
      </c>
      <c r="X323" s="265">
        <f t="shared" si="657"/>
        <v>2236</v>
      </c>
      <c r="Y323" s="265">
        <f t="shared" si="657"/>
        <v>2335</v>
      </c>
      <c r="Z323" s="265">
        <f t="shared" si="657"/>
        <v>2127</v>
      </c>
      <c r="AA323" s="993">
        <f t="shared" si="657"/>
        <v>8579</v>
      </c>
      <c r="AB323" s="265">
        <f t="shared" si="657"/>
        <v>2015</v>
      </c>
      <c r="AC323" s="265">
        <f t="shared" si="657"/>
        <v>2395</v>
      </c>
      <c r="AD323" s="265">
        <f t="shared" si="657"/>
        <v>2473</v>
      </c>
      <c r="AE323" s="265">
        <f t="shared" si="657"/>
        <v>2237</v>
      </c>
      <c r="AF323" s="993">
        <f t="shared" si="657"/>
        <v>9120</v>
      </c>
      <c r="AG323" s="265">
        <f t="shared" si="657"/>
        <v>2061</v>
      </c>
      <c r="AH323" s="265">
        <f t="shared" si="657"/>
        <v>2558</v>
      </c>
      <c r="AI323" s="265">
        <f t="shared" si="657"/>
        <v>2647</v>
      </c>
      <c r="AJ323" s="265">
        <f t="shared" si="657"/>
        <v>2398</v>
      </c>
      <c r="AK323" s="993">
        <f t="shared" si="657"/>
        <v>9664</v>
      </c>
      <c r="AL323" s="265">
        <f t="shared" si="657"/>
        <v>2350</v>
      </c>
      <c r="AM323" s="265">
        <f t="shared" si="657"/>
        <v>2662</v>
      </c>
      <c r="AN323" s="265">
        <f>SUM(AN321:AN322)</f>
        <v>3008</v>
      </c>
      <c r="AO323" s="265">
        <f t="shared" si="658" ref="AO323:AP323">SUM(AO321:AO322)</f>
        <v>2678</v>
      </c>
      <c r="AP323" s="993">
        <f t="shared" si="658"/>
        <v>10698</v>
      </c>
      <c r="AQ323" s="265">
        <f t="shared" si="659" ref="AQ323">SUM(AQ321:AQ322)</f>
        <v>2519</v>
      </c>
      <c r="AR323" s="265">
        <f t="shared" si="660" ref="AR323:AW323">SUM(AR321:AR322)</f>
        <v>3101</v>
      </c>
      <c r="AS323" s="265">
        <f t="shared" si="660"/>
        <v>3227</v>
      </c>
      <c r="AT323" s="265">
        <f t="shared" si="660"/>
        <v>2960</v>
      </c>
      <c r="AU323" s="993">
        <f t="shared" si="660"/>
        <v>11807</v>
      </c>
      <c r="AV323" s="265">
        <f t="shared" si="660"/>
        <v>2840</v>
      </c>
      <c r="AW323" s="265">
        <f t="shared" si="660"/>
        <v>3497</v>
      </c>
      <c r="AX323" s="265">
        <f t="shared" si="661" ref="AX323:BC323">SUM(AX321:AX322)</f>
        <v>3695</v>
      </c>
      <c r="AY323" s="265">
        <f t="shared" si="661"/>
        <v>3366</v>
      </c>
      <c r="AZ323" s="993">
        <f t="shared" si="661"/>
        <v>13398</v>
      </c>
      <c r="BA323" s="265">
        <f t="shared" si="661"/>
        <v>3219</v>
      </c>
      <c r="BB323" s="265">
        <f t="shared" si="661"/>
        <v>3996</v>
      </c>
      <c r="BC323" s="265">
        <f t="shared" si="661"/>
        <v>4238</v>
      </c>
      <c r="BD323" s="265">
        <f>SUM(BD321:BD322)</f>
        <v>3826</v>
      </c>
      <c r="BE323" s="993">
        <f>SUM(BE321:BE322)</f>
        <v>15279</v>
      </c>
      <c r="BF323" s="265">
        <f>SUM(BF321:BF322)</f>
        <v>3494</v>
      </c>
      <c r="BG323" s="265">
        <f>SUM(BG321:BG322)</f>
        <v>4348</v>
      </c>
      <c r="BH323" s="745">
        <f>SUM(BH321:BH322)</f>
        <v>4548</v>
      </c>
      <c r="BI323" s="210"/>
      <c r="BJ323" s="994"/>
      <c r="BK323" s="210"/>
      <c r="BL323" s="210"/>
      <c r="BM323" s="210"/>
      <c r="BN323" s="210"/>
      <c r="BO323" s="994"/>
      <c r="BP323" s="994"/>
      <c r="BQ323" s="994"/>
      <c r="BR323" s="994"/>
      <c r="BS323" s="265"/>
    </row>
    <row r="324" spans="1:71" s="261" customFormat="1" ht="15" hidden="1" outlineLevel="1">
      <c r="A324" s="390" t="s">
        <v>489</v>
      </c>
      <c r="B324" s="469"/>
      <c r="C324" s="996"/>
      <c r="D324" s="996"/>
      <c r="E324" s="996"/>
      <c r="F324" s="996"/>
      <c r="G324" s="996"/>
      <c r="H324" s="205"/>
      <c r="I324" s="205"/>
      <c r="J324" s="205"/>
      <c r="K324" s="205"/>
      <c r="L324" s="996"/>
      <c r="M324" s="205"/>
      <c r="N324" s="205"/>
      <c r="O324" s="205"/>
      <c r="P324" s="205"/>
      <c r="Q324" s="996"/>
      <c r="R324" s="927">
        <v>68</v>
      </c>
      <c r="S324" s="927">
        <v>75</v>
      </c>
      <c r="T324" s="927">
        <v>87</v>
      </c>
      <c r="U324" s="927">
        <v>79</v>
      </c>
      <c r="V324" s="995">
        <f>SUM(R324,S324,T324,U324)</f>
        <v>309</v>
      </c>
      <c r="W324" s="927">
        <v>83</v>
      </c>
      <c r="X324" s="927">
        <v>88</v>
      </c>
      <c r="Y324" s="927">
        <v>100</v>
      </c>
      <c r="Z324" s="927">
        <v>90</v>
      </c>
      <c r="AA324" s="995">
        <f>SUM(W324,X324,Y324,Z324)</f>
        <v>361</v>
      </c>
      <c r="AB324" s="927">
        <v>92</v>
      </c>
      <c r="AC324" s="927">
        <v>99</v>
      </c>
      <c r="AD324" s="927">
        <v>108</v>
      </c>
      <c r="AE324" s="927">
        <v>97</v>
      </c>
      <c r="AF324" s="995">
        <f>SUM(AB324,AC324,AD324,AE324)</f>
        <v>396</v>
      </c>
      <c r="AG324" s="927">
        <v>95</v>
      </c>
      <c r="AH324" s="927">
        <v>103</v>
      </c>
      <c r="AI324" s="927">
        <v>115</v>
      </c>
      <c r="AJ324" s="927">
        <v>99</v>
      </c>
      <c r="AK324" s="995">
        <f>SUM(AG324,AH324,AI324,AJ324)</f>
        <v>412</v>
      </c>
      <c r="AL324" s="205"/>
      <c r="AM324" s="205"/>
      <c r="AN324" s="205"/>
      <c r="AO324" s="205"/>
      <c r="AP324" s="996"/>
      <c r="AQ324" s="205"/>
      <c r="AR324" s="205"/>
      <c r="AS324" s="205"/>
      <c r="AT324" s="205"/>
      <c r="AU324" s="996"/>
      <c r="AV324" s="205"/>
      <c r="AW324" s="205"/>
      <c r="AX324" s="205"/>
      <c r="AY324" s="205"/>
      <c r="AZ324" s="996"/>
      <c r="BA324" s="205"/>
      <c r="BB324" s="205"/>
      <c r="BC324" s="205"/>
      <c r="BD324" s="205"/>
      <c r="BE324" s="996"/>
      <c r="BF324" s="205"/>
      <c r="BG324" s="205"/>
      <c r="BH324" s="658"/>
      <c r="BI324" s="205"/>
      <c r="BJ324" s="996"/>
      <c r="BK324" s="205"/>
      <c r="BL324" s="205"/>
      <c r="BM324" s="205"/>
      <c r="BN324" s="205"/>
      <c r="BO324" s="996"/>
      <c r="BP324" s="996"/>
      <c r="BQ324" s="996"/>
      <c r="BR324" s="996"/>
      <c r="BS324" s="265"/>
    </row>
    <row r="325" spans="1:71" s="261" customFormat="1" ht="15" hidden="1" outlineLevel="1">
      <c r="A325" s="264" t="s">
        <v>490</v>
      </c>
      <c r="B325" s="468"/>
      <c r="C325" s="994"/>
      <c r="D325" s="994"/>
      <c r="E325" s="994"/>
      <c r="F325" s="994"/>
      <c r="G325" s="994"/>
      <c r="H325" s="210"/>
      <c r="I325" s="210"/>
      <c r="J325" s="210"/>
      <c r="K325" s="210"/>
      <c r="L325" s="994"/>
      <c r="M325" s="210"/>
      <c r="N325" s="210"/>
      <c r="O325" s="210"/>
      <c r="P325" s="210"/>
      <c r="Q325" s="994"/>
      <c r="R325" s="265">
        <f t="shared" si="662" ref="R325:AM325">SUM(R323:R324)</f>
        <v>1760</v>
      </c>
      <c r="S325" s="265">
        <f t="shared" si="662"/>
        <v>2129</v>
      </c>
      <c r="T325" s="265">
        <f t="shared" si="662"/>
        <v>2240</v>
      </c>
      <c r="U325" s="265">
        <f t="shared" si="662"/>
        <v>2055</v>
      </c>
      <c r="V325" s="993">
        <f t="shared" si="662"/>
        <v>8184</v>
      </c>
      <c r="W325" s="265">
        <f t="shared" si="662"/>
        <v>1964</v>
      </c>
      <c r="X325" s="265">
        <f t="shared" si="662"/>
        <v>2324</v>
      </c>
      <c r="Y325" s="265">
        <f t="shared" si="662"/>
        <v>2435</v>
      </c>
      <c r="Z325" s="265">
        <f t="shared" si="662"/>
        <v>2217</v>
      </c>
      <c r="AA325" s="993">
        <f t="shared" si="662"/>
        <v>8940</v>
      </c>
      <c r="AB325" s="265">
        <f t="shared" si="662"/>
        <v>2107</v>
      </c>
      <c r="AC325" s="265">
        <f t="shared" si="662"/>
        <v>2494</v>
      </c>
      <c r="AD325" s="265">
        <f t="shared" si="662"/>
        <v>2581</v>
      </c>
      <c r="AE325" s="265">
        <f t="shared" si="662"/>
        <v>2334</v>
      </c>
      <c r="AF325" s="993">
        <f t="shared" si="662"/>
        <v>9516</v>
      </c>
      <c r="AG325" s="265">
        <f t="shared" si="662"/>
        <v>2156</v>
      </c>
      <c r="AH325" s="265">
        <f t="shared" si="662"/>
        <v>2661</v>
      </c>
      <c r="AI325" s="265">
        <f t="shared" si="662"/>
        <v>2762</v>
      </c>
      <c r="AJ325" s="265">
        <f t="shared" si="662"/>
        <v>2497</v>
      </c>
      <c r="AK325" s="993">
        <f t="shared" si="662"/>
        <v>10076</v>
      </c>
      <c r="AL325" s="265">
        <f t="shared" si="662"/>
        <v>2350</v>
      </c>
      <c r="AM325" s="265">
        <f t="shared" si="662"/>
        <v>2662</v>
      </c>
      <c r="AN325" s="265">
        <f>SUM(AN323:AN324)</f>
        <v>3008</v>
      </c>
      <c r="AO325" s="265">
        <f t="shared" si="663" ref="AO325:AP325">SUM(AO323:AO324)</f>
        <v>2678</v>
      </c>
      <c r="AP325" s="993">
        <f t="shared" si="663"/>
        <v>10698</v>
      </c>
      <c r="AQ325" s="265">
        <f t="shared" si="664" ref="AQ325">SUM(AQ323:AQ324)</f>
        <v>2519</v>
      </c>
      <c r="AR325" s="265">
        <f t="shared" si="665" ref="AR325:AW325">SUM(AR323:AR324)</f>
        <v>3101</v>
      </c>
      <c r="AS325" s="265">
        <f t="shared" si="665"/>
        <v>3227</v>
      </c>
      <c r="AT325" s="265">
        <f t="shared" si="665"/>
        <v>2960</v>
      </c>
      <c r="AU325" s="993">
        <f t="shared" si="665"/>
        <v>11807</v>
      </c>
      <c r="AV325" s="265">
        <f t="shared" si="665"/>
        <v>2840</v>
      </c>
      <c r="AW325" s="265">
        <f t="shared" si="665"/>
        <v>3497</v>
      </c>
      <c r="AX325" s="265">
        <f t="shared" si="666" ref="AX325:BC325">SUM(AX323:AX324)</f>
        <v>3695</v>
      </c>
      <c r="AY325" s="265">
        <f t="shared" si="666"/>
        <v>3366</v>
      </c>
      <c r="AZ325" s="993">
        <f t="shared" si="666"/>
        <v>13398</v>
      </c>
      <c r="BA325" s="265">
        <f t="shared" si="666"/>
        <v>3219</v>
      </c>
      <c r="BB325" s="265">
        <f t="shared" si="666"/>
        <v>3996</v>
      </c>
      <c r="BC325" s="265">
        <f t="shared" si="666"/>
        <v>4238</v>
      </c>
      <c r="BD325" s="265">
        <f>SUM(BD323:BD324)</f>
        <v>3826</v>
      </c>
      <c r="BE325" s="993">
        <f>SUM(BE323:BE324)</f>
        <v>15279</v>
      </c>
      <c r="BF325" s="265">
        <f>SUM(BF323:BF324)</f>
        <v>3494</v>
      </c>
      <c r="BG325" s="265">
        <f>SUM(BG323:BG324)</f>
        <v>4348</v>
      </c>
      <c r="BH325" s="745">
        <f>SUM(BH323:BH324)</f>
        <v>4548</v>
      </c>
      <c r="BI325" s="210"/>
      <c r="BJ325" s="994"/>
      <c r="BK325" s="210"/>
      <c r="BL325" s="210"/>
      <c r="BM325" s="210"/>
      <c r="BN325" s="210"/>
      <c r="BO325" s="994"/>
      <c r="BP325" s="994"/>
      <c r="BQ325" s="994"/>
      <c r="BR325" s="994"/>
      <c r="BS325" s="265"/>
    </row>
    <row r="326" spans="1:71" s="261" customFormat="1" ht="15" hidden="1" outlineLevel="1">
      <c r="A326" s="209" t="s">
        <v>491</v>
      </c>
      <c r="B326" s="469"/>
      <c r="C326" s="996"/>
      <c r="D326" s="996"/>
      <c r="E326" s="996"/>
      <c r="F326" s="996"/>
      <c r="G326" s="996"/>
      <c r="H326" s="205"/>
      <c r="I326" s="205"/>
      <c r="J326" s="205"/>
      <c r="K326" s="205"/>
      <c r="L326" s="996"/>
      <c r="M326" s="205"/>
      <c r="N326" s="205"/>
      <c r="O326" s="205"/>
      <c r="P326" s="205"/>
      <c r="Q326" s="996"/>
      <c r="R326" s="927">
        <v>124</v>
      </c>
      <c r="S326" s="927">
        <v>174</v>
      </c>
      <c r="T326" s="927">
        <v>161</v>
      </c>
      <c r="U326" s="927">
        <v>144</v>
      </c>
      <c r="V326" s="995">
        <f>SUM(R326,S326,T326,U326)</f>
        <v>603</v>
      </c>
      <c r="W326" s="927">
        <v>132</v>
      </c>
      <c r="X326" s="927">
        <v>174</v>
      </c>
      <c r="Y326" s="927">
        <v>180</v>
      </c>
      <c r="Z326" s="927">
        <v>164</v>
      </c>
      <c r="AA326" s="995">
        <f>SUM(W326,X326,Y326,Z326)</f>
        <v>650</v>
      </c>
      <c r="AB326" s="927">
        <v>149</v>
      </c>
      <c r="AC326" s="927">
        <v>203</v>
      </c>
      <c r="AD326" s="927">
        <v>189</v>
      </c>
      <c r="AE326" s="927">
        <v>167</v>
      </c>
      <c r="AF326" s="995">
        <f>SUM(AB326,AC326,AD326,AE326)</f>
        <v>708</v>
      </c>
      <c r="AG326" s="927">
        <v>151</v>
      </c>
      <c r="AH326" s="927">
        <v>205</v>
      </c>
      <c r="AI326" s="927">
        <v>190</v>
      </c>
      <c r="AJ326" s="927">
        <v>161</v>
      </c>
      <c r="AK326" s="995">
        <f>SUM(AG326,AH326,AI326,AJ326)</f>
        <v>707</v>
      </c>
      <c r="AL326" s="927">
        <v>143</v>
      </c>
      <c r="AM326" s="927">
        <v>173</v>
      </c>
      <c r="AN326" s="927">
        <v>176</v>
      </c>
      <c r="AO326" s="186">
        <f>AP326-SUM(AL326,AM326,AN326)</f>
        <v>160</v>
      </c>
      <c r="AP326" s="1033">
        <v>652</v>
      </c>
      <c r="AQ326" s="927">
        <v>138</v>
      </c>
      <c r="AR326" s="927">
        <v>200</v>
      </c>
      <c r="AS326" s="927">
        <v>182</v>
      </c>
      <c r="AT326" s="186">
        <f>AU326-SUM(AQ326,AR326,AS326)</f>
        <v>164</v>
      </c>
      <c r="AU326" s="1033">
        <v>684</v>
      </c>
      <c r="AV326" s="927">
        <v>143</v>
      </c>
      <c r="AW326" s="927">
        <v>188</v>
      </c>
      <c r="AX326" s="927">
        <v>169</v>
      </c>
      <c r="AY326" s="186">
        <f>AZ326-SUM(AV326,AW326,AX326)</f>
        <v>149</v>
      </c>
      <c r="AZ326" s="1033">
        <v>649</v>
      </c>
      <c r="BA326" s="927">
        <v>134</v>
      </c>
      <c r="BB326" s="927">
        <v>183</v>
      </c>
      <c r="BC326" s="927">
        <v>172</v>
      </c>
      <c r="BD326" s="186">
        <f>BE326-SUM(BA326,BB326,BC326)</f>
        <v>161</v>
      </c>
      <c r="BE326" s="1033">
        <v>650</v>
      </c>
      <c r="BF326" s="927">
        <v>149</v>
      </c>
      <c r="BG326" s="927">
        <v>188</v>
      </c>
      <c r="BH326" s="928">
        <v>180</v>
      </c>
      <c r="BI326" s="205"/>
      <c r="BJ326" s="996"/>
      <c r="BK326" s="205"/>
      <c r="BL326" s="205"/>
      <c r="BM326" s="205"/>
      <c r="BN326" s="205"/>
      <c r="BO326" s="996"/>
      <c r="BP326" s="996"/>
      <c r="BQ326" s="996"/>
      <c r="BR326" s="996"/>
      <c r="BS326" s="265"/>
    </row>
    <row r="327" spans="1:71" s="45" customFormat="1" ht="15" hidden="1" outlineLevel="1">
      <c r="A327" s="197" t="s">
        <v>492</v>
      </c>
      <c r="B327" s="470"/>
      <c r="C327" s="1009"/>
      <c r="D327" s="1009"/>
      <c r="E327" s="1009"/>
      <c r="F327" s="1009"/>
      <c r="G327" s="1009"/>
      <c r="H327" s="199"/>
      <c r="I327" s="199"/>
      <c r="J327" s="199"/>
      <c r="K327" s="199"/>
      <c r="L327" s="1009"/>
      <c r="M327" s="199"/>
      <c r="N327" s="199"/>
      <c r="O327" s="199"/>
      <c r="P327" s="199"/>
      <c r="Q327" s="1009"/>
      <c r="R327" s="185">
        <f t="shared" si="667" ref="R327:AM327">SUM(R325:R326)</f>
        <v>1884</v>
      </c>
      <c r="S327" s="185">
        <f t="shared" si="667"/>
        <v>2303</v>
      </c>
      <c r="T327" s="185">
        <f t="shared" si="667"/>
        <v>2401</v>
      </c>
      <c r="U327" s="185">
        <f t="shared" si="667"/>
        <v>2199</v>
      </c>
      <c r="V327" s="1008">
        <f t="shared" si="667"/>
        <v>8787</v>
      </c>
      <c r="W327" s="185">
        <f t="shared" si="667"/>
        <v>2096</v>
      </c>
      <c r="X327" s="185">
        <f t="shared" si="667"/>
        <v>2498</v>
      </c>
      <c r="Y327" s="185">
        <f t="shared" si="667"/>
        <v>2615</v>
      </c>
      <c r="Z327" s="185">
        <f t="shared" si="667"/>
        <v>2381</v>
      </c>
      <c r="AA327" s="1008">
        <f t="shared" si="667"/>
        <v>9590</v>
      </c>
      <c r="AB327" s="185">
        <f t="shared" si="667"/>
        <v>2256</v>
      </c>
      <c r="AC327" s="185">
        <f t="shared" si="667"/>
        <v>2697</v>
      </c>
      <c r="AD327" s="185">
        <f t="shared" si="667"/>
        <v>2770</v>
      </c>
      <c r="AE327" s="185">
        <f t="shared" si="667"/>
        <v>2501</v>
      </c>
      <c r="AF327" s="1008">
        <f t="shared" si="667"/>
        <v>10224</v>
      </c>
      <c r="AG327" s="185">
        <f t="shared" si="667"/>
        <v>2307</v>
      </c>
      <c r="AH327" s="185">
        <f t="shared" si="667"/>
        <v>2866</v>
      </c>
      <c r="AI327" s="185">
        <f t="shared" si="667"/>
        <v>2952</v>
      </c>
      <c r="AJ327" s="185">
        <f t="shared" si="667"/>
        <v>2658</v>
      </c>
      <c r="AK327" s="1008">
        <f t="shared" si="667"/>
        <v>10783</v>
      </c>
      <c r="AL327" s="185">
        <f t="shared" si="667"/>
        <v>2493</v>
      </c>
      <c r="AM327" s="185">
        <f t="shared" si="667"/>
        <v>2835</v>
      </c>
      <c r="AN327" s="185">
        <f>SUM(AN325:AN326)</f>
        <v>3184</v>
      </c>
      <c r="AO327" s="185">
        <f t="shared" si="668" ref="AO327:AP327">SUM(AO325:AO326)</f>
        <v>2838</v>
      </c>
      <c r="AP327" s="1008">
        <f t="shared" si="668"/>
        <v>11350</v>
      </c>
      <c r="AQ327" s="185">
        <f t="shared" si="669" ref="AQ327">SUM(AQ325:AQ326)</f>
        <v>2657</v>
      </c>
      <c r="AR327" s="185">
        <f t="shared" si="670" ref="AR327:AW327">SUM(AR325:AR326)</f>
        <v>3301</v>
      </c>
      <c r="AS327" s="185">
        <f t="shared" si="670"/>
        <v>3409</v>
      </c>
      <c r="AT327" s="185">
        <f t="shared" si="670"/>
        <v>3124</v>
      </c>
      <c r="AU327" s="1008">
        <f t="shared" si="670"/>
        <v>12491</v>
      </c>
      <c r="AV327" s="185">
        <f t="shared" si="670"/>
        <v>2983</v>
      </c>
      <c r="AW327" s="185">
        <f t="shared" si="670"/>
        <v>3685</v>
      </c>
      <c r="AX327" s="185">
        <f t="shared" si="671" ref="AX327:BC327">SUM(AX325:AX326)</f>
        <v>3864</v>
      </c>
      <c r="AY327" s="185">
        <f t="shared" si="671"/>
        <v>3515</v>
      </c>
      <c r="AZ327" s="1008">
        <f t="shared" si="671"/>
        <v>14047</v>
      </c>
      <c r="BA327" s="185">
        <f t="shared" si="671"/>
        <v>3353</v>
      </c>
      <c r="BB327" s="185">
        <f t="shared" si="671"/>
        <v>4179</v>
      </c>
      <c r="BC327" s="185">
        <f t="shared" si="671"/>
        <v>4410</v>
      </c>
      <c r="BD327" s="185">
        <f>SUM(BD325:BD326)</f>
        <v>3987</v>
      </c>
      <c r="BE327" s="1008">
        <f>SUM(BE325:BE326)</f>
        <v>15929</v>
      </c>
      <c r="BF327" s="185">
        <f>SUM(BF325:BF326)</f>
        <v>3643</v>
      </c>
      <c r="BG327" s="185">
        <f>SUM(BG325:BG326)</f>
        <v>4536</v>
      </c>
      <c r="BH327" s="749">
        <f>SUM(BH325:BH326)</f>
        <v>4728</v>
      </c>
      <c r="BI327" s="199"/>
      <c r="BJ327" s="1009"/>
      <c r="BK327" s="199"/>
      <c r="BL327" s="199"/>
      <c r="BM327" s="199"/>
      <c r="BN327" s="199"/>
      <c r="BO327" s="1009"/>
      <c r="BP327" s="1009"/>
      <c r="BQ327" s="1009"/>
      <c r="BR327" s="1009"/>
      <c r="BS327" s="185"/>
    </row>
    <row r="328" spans="1:71" s="24" customFormat="1" ht="15" collapsed="1">
      <c r="A328" s="449"/>
      <c r="B328" s="445"/>
      <c r="C328" s="1011"/>
      <c r="D328" s="1011"/>
      <c r="E328" s="1011"/>
      <c r="F328" s="1011"/>
      <c r="G328" s="1011"/>
      <c r="H328" s="857"/>
      <c r="I328" s="857"/>
      <c r="J328" s="857"/>
      <c r="K328" s="857"/>
      <c r="L328" s="1011"/>
      <c r="M328" s="857"/>
      <c r="N328" s="857"/>
      <c r="O328" s="857"/>
      <c r="P328" s="857"/>
      <c r="Q328" s="1011"/>
      <c r="R328" s="857"/>
      <c r="S328" s="857"/>
      <c r="T328" s="857"/>
      <c r="U328" s="857"/>
      <c r="V328" s="1011"/>
      <c r="W328" s="857"/>
      <c r="X328" s="857"/>
      <c r="Y328" s="857"/>
      <c r="Z328" s="857"/>
      <c r="AA328" s="1011"/>
      <c r="AB328" s="857"/>
      <c r="AC328" s="857"/>
      <c r="AD328" s="857"/>
      <c r="AE328" s="857"/>
      <c r="AF328" s="1011"/>
      <c r="AG328" s="857"/>
      <c r="AH328" s="857"/>
      <c r="AI328" s="857"/>
      <c r="AJ328" s="857"/>
      <c r="AK328" s="1011"/>
      <c r="AL328" s="857"/>
      <c r="AM328" s="857"/>
      <c r="AN328" s="857"/>
      <c r="AO328" s="857"/>
      <c r="AP328" s="1011"/>
      <c r="AQ328" s="857"/>
      <c r="AR328" s="857"/>
      <c r="AS328" s="857"/>
      <c r="AT328" s="857"/>
      <c r="AU328" s="1011"/>
      <c r="AV328" s="857"/>
      <c r="AW328" s="857"/>
      <c r="AX328" s="857"/>
      <c r="AY328" s="857"/>
      <c r="AZ328" s="1011"/>
      <c r="BA328" s="857"/>
      <c r="BB328" s="857"/>
      <c r="BC328" s="857"/>
      <c r="BD328" s="857"/>
      <c r="BE328" s="1011"/>
      <c r="BF328" s="857"/>
      <c r="BG328" s="857"/>
      <c r="BH328" s="858"/>
      <c r="BI328" s="857"/>
      <c r="BJ328" s="1011"/>
      <c r="BK328" s="857"/>
      <c r="BL328" s="857"/>
      <c r="BM328" s="857"/>
      <c r="BN328" s="857"/>
      <c r="BO328" s="1011"/>
      <c r="BP328" s="1011"/>
      <c r="BQ328" s="1011"/>
      <c r="BR328" s="1011"/>
      <c r="BS328" s="833"/>
    </row>
    <row r="329" spans="1:71" s="181" customFormat="1" ht="15">
      <c r="A329" s="826" t="s">
        <v>510</v>
      </c>
      <c r="B329" s="826"/>
      <c r="C329" s="847"/>
      <c r="D329" s="847"/>
      <c r="E329" s="847"/>
      <c r="F329" s="847"/>
      <c r="G329" s="847"/>
      <c r="H329" s="847"/>
      <c r="I329" s="847"/>
      <c r="J329" s="847"/>
      <c r="K329" s="847"/>
      <c r="L329" s="847"/>
      <c r="M329" s="847"/>
      <c r="N329" s="847"/>
      <c r="O329" s="847"/>
      <c r="P329" s="847"/>
      <c r="Q329" s="847"/>
      <c r="R329" s="847"/>
      <c r="S329" s="847"/>
      <c r="T329" s="847"/>
      <c r="U329" s="847"/>
      <c r="V329" s="847"/>
      <c r="W329" s="847"/>
      <c r="X329" s="847"/>
      <c r="Y329" s="847"/>
      <c r="Z329" s="847"/>
      <c r="AA329" s="847"/>
      <c r="AB329" s="847"/>
      <c r="AC329" s="847"/>
      <c r="AD329" s="847"/>
      <c r="AE329" s="847"/>
      <c r="AF329" s="847"/>
      <c r="AG329" s="847"/>
      <c r="AH329" s="847"/>
      <c r="AI329" s="847"/>
      <c r="AJ329" s="847"/>
      <c r="AK329" s="847"/>
      <c r="AL329" s="847"/>
      <c r="AM329" s="847"/>
      <c r="AN329" s="847"/>
      <c r="AO329" s="847"/>
      <c r="AP329" s="847"/>
      <c r="AQ329" s="847"/>
      <c r="AR329" s="847"/>
      <c r="AS329" s="847"/>
      <c r="AT329" s="847"/>
      <c r="AU329" s="847"/>
      <c r="AV329" s="847"/>
      <c r="AW329" s="847"/>
      <c r="AX329" s="847"/>
      <c r="AY329" s="847"/>
      <c r="AZ329" s="847"/>
      <c r="BA329" s="847"/>
      <c r="BB329" s="847"/>
      <c r="BC329" s="847"/>
      <c r="BD329" s="847"/>
      <c r="BE329" s="847"/>
      <c r="BF329" s="847"/>
      <c r="BG329" s="847"/>
      <c r="BH329" s="848"/>
      <c r="BI329" s="847"/>
      <c r="BJ329" s="847"/>
      <c r="BK329" s="847"/>
      <c r="BL329" s="847"/>
      <c r="BM329" s="847"/>
      <c r="BN329" s="847"/>
      <c r="BO329" s="847"/>
      <c r="BP329" s="847"/>
      <c r="BQ329" s="847"/>
      <c r="BR329" s="847"/>
      <c r="BS329" s="423"/>
    </row>
    <row r="330" spans="1:71" s="261" customFormat="1" ht="15" hidden="1" outlineLevel="1">
      <c r="A330" s="209" t="s">
        <v>502</v>
      </c>
      <c r="B330" s="469"/>
      <c r="C330" s="1033">
        <v>10</v>
      </c>
      <c r="D330" s="1033">
        <v>-60</v>
      </c>
      <c r="E330" s="1033">
        <v>-1</v>
      </c>
      <c r="F330" s="1033">
        <v>-12</v>
      </c>
      <c r="G330" s="1033">
        <v>-6</v>
      </c>
      <c r="H330" s="927">
        <v>-1</v>
      </c>
      <c r="I330" s="927">
        <v>1</v>
      </c>
      <c r="J330" s="927">
        <v>0</v>
      </c>
      <c r="K330" s="927">
        <v>0</v>
      </c>
      <c r="L330" s="995">
        <f>SUM(H330,I330,J330,K330)</f>
        <v>0</v>
      </c>
      <c r="M330" s="927">
        <v>0</v>
      </c>
      <c r="N330" s="927">
        <v>0</v>
      </c>
      <c r="O330" s="927">
        <v>3</v>
      </c>
      <c r="P330" s="927">
        <v>3</v>
      </c>
      <c r="Q330" s="995">
        <f>SUM(M330,N330,O330,P330)</f>
        <v>6</v>
      </c>
      <c r="R330" s="927">
        <v>3</v>
      </c>
      <c r="S330" s="927">
        <v>3</v>
      </c>
      <c r="T330" s="927">
        <v>3</v>
      </c>
      <c r="U330" s="927">
        <v>2</v>
      </c>
      <c r="V330" s="995">
        <f>SUM(R330,S330,T330,U330)</f>
        <v>11</v>
      </c>
      <c r="W330" s="927">
        <v>1</v>
      </c>
      <c r="X330" s="927">
        <v>3</v>
      </c>
      <c r="Y330" s="927">
        <v>2</v>
      </c>
      <c r="Z330" s="927">
        <v>0</v>
      </c>
      <c r="AA330" s="995">
        <f>SUM(W330,X330,Y330,Z330)</f>
        <v>6</v>
      </c>
      <c r="AB330" s="927">
        <v>0</v>
      </c>
      <c r="AC330" s="927">
        <v>0</v>
      </c>
      <c r="AD330" s="927">
        <v>2</v>
      </c>
      <c r="AE330" s="927">
        <v>0</v>
      </c>
      <c r="AF330" s="995">
        <f>SUM(AB330,AC330,AD330,AE330)</f>
        <v>2</v>
      </c>
      <c r="AG330" s="927">
        <v>1</v>
      </c>
      <c r="AH330" s="927">
        <v>0</v>
      </c>
      <c r="AI330" s="927">
        <v>0</v>
      </c>
      <c r="AJ330" s="927">
        <v>0</v>
      </c>
      <c r="AK330" s="995">
        <f>SUM(AG330,AH330,AI330,AJ330)</f>
        <v>1</v>
      </c>
      <c r="AL330" s="927">
        <v>0</v>
      </c>
      <c r="AM330" s="927">
        <v>0</v>
      </c>
      <c r="AN330" s="927">
        <v>0</v>
      </c>
      <c r="AO330" s="186">
        <f>AP330-SUM(AL330,AM330,AN330)</f>
        <v>0</v>
      </c>
      <c r="AP330" s="1033">
        <v>0</v>
      </c>
      <c r="AQ330" s="927">
        <v>0</v>
      </c>
      <c r="AR330" s="205"/>
      <c r="AS330" s="205"/>
      <c r="AT330" s="186">
        <f>AU330-SUM(AQ330,AR330,AS330)</f>
        <v>0</v>
      </c>
      <c r="AU330" s="996"/>
      <c r="AV330" s="205"/>
      <c r="AW330" s="205"/>
      <c r="AX330" s="205"/>
      <c r="AY330" s="205"/>
      <c r="AZ330" s="996"/>
      <c r="BA330" s="205"/>
      <c r="BB330" s="205"/>
      <c r="BC330" s="205"/>
      <c r="BD330" s="205"/>
      <c r="BE330" s="996"/>
      <c r="BF330" s="205"/>
      <c r="BG330" s="205"/>
      <c r="BH330" s="658"/>
      <c r="BI330" s="205"/>
      <c r="BJ330" s="996"/>
      <c r="BK330" s="205"/>
      <c r="BL330" s="205"/>
      <c r="BM330" s="205"/>
      <c r="BN330" s="205"/>
      <c r="BO330" s="996"/>
      <c r="BP330" s="996"/>
      <c r="BQ330" s="996"/>
      <c r="BR330" s="996"/>
      <c r="BS330" s="265"/>
    </row>
    <row r="331" spans="1:71" s="45" customFormat="1" ht="15" hidden="1" outlineLevel="1">
      <c r="A331" s="197" t="s">
        <v>503</v>
      </c>
      <c r="B331" s="470"/>
      <c r="C331" s="1008">
        <f t="shared" si="672" ref="C331:AM331">SUM(C330)</f>
        <v>10</v>
      </c>
      <c r="D331" s="1008">
        <f t="shared" si="672"/>
        <v>-60</v>
      </c>
      <c r="E331" s="1008">
        <f t="shared" si="672"/>
        <v>-1</v>
      </c>
      <c r="F331" s="1008">
        <f t="shared" si="672"/>
        <v>-12</v>
      </c>
      <c r="G331" s="1008">
        <f t="shared" si="672"/>
        <v>-6</v>
      </c>
      <c r="H331" s="185">
        <f t="shared" si="672"/>
        <v>-1</v>
      </c>
      <c r="I331" s="185">
        <f t="shared" si="672"/>
        <v>1</v>
      </c>
      <c r="J331" s="185">
        <f t="shared" si="672"/>
        <v>0</v>
      </c>
      <c r="K331" s="185">
        <f t="shared" si="672"/>
        <v>0</v>
      </c>
      <c r="L331" s="1008">
        <f t="shared" si="672"/>
        <v>0</v>
      </c>
      <c r="M331" s="185">
        <f t="shared" si="672"/>
        <v>0</v>
      </c>
      <c r="N331" s="185">
        <f t="shared" si="672"/>
        <v>0</v>
      </c>
      <c r="O331" s="185">
        <f t="shared" si="672"/>
        <v>3</v>
      </c>
      <c r="P331" s="185">
        <f t="shared" si="672"/>
        <v>3</v>
      </c>
      <c r="Q331" s="1008">
        <f t="shared" si="672"/>
        <v>6</v>
      </c>
      <c r="R331" s="185">
        <f t="shared" si="672"/>
        <v>3</v>
      </c>
      <c r="S331" s="185">
        <f t="shared" si="672"/>
        <v>3</v>
      </c>
      <c r="T331" s="185">
        <f t="shared" si="672"/>
        <v>3</v>
      </c>
      <c r="U331" s="185">
        <f t="shared" si="672"/>
        <v>2</v>
      </c>
      <c r="V331" s="1008">
        <f t="shared" si="672"/>
        <v>11</v>
      </c>
      <c r="W331" s="185">
        <f t="shared" si="672"/>
        <v>1</v>
      </c>
      <c r="X331" s="185">
        <f t="shared" si="672"/>
        <v>3</v>
      </c>
      <c r="Y331" s="185">
        <f t="shared" si="672"/>
        <v>2</v>
      </c>
      <c r="Z331" s="185">
        <f t="shared" si="672"/>
        <v>0</v>
      </c>
      <c r="AA331" s="1008">
        <f t="shared" si="672"/>
        <v>6</v>
      </c>
      <c r="AB331" s="185">
        <f t="shared" si="672"/>
        <v>0</v>
      </c>
      <c r="AC331" s="185">
        <f t="shared" si="672"/>
        <v>0</v>
      </c>
      <c r="AD331" s="185">
        <f t="shared" si="672"/>
        <v>2</v>
      </c>
      <c r="AE331" s="185">
        <f t="shared" si="672"/>
        <v>0</v>
      </c>
      <c r="AF331" s="1008">
        <f t="shared" si="672"/>
        <v>2</v>
      </c>
      <c r="AG331" s="185">
        <f t="shared" si="672"/>
        <v>1</v>
      </c>
      <c r="AH331" s="185">
        <f t="shared" si="672"/>
        <v>0</v>
      </c>
      <c r="AI331" s="185">
        <f t="shared" si="672"/>
        <v>0</v>
      </c>
      <c r="AJ331" s="185">
        <f t="shared" si="672"/>
        <v>0</v>
      </c>
      <c r="AK331" s="997">
        <f t="shared" si="672"/>
        <v>1</v>
      </c>
      <c r="AL331" s="185">
        <f t="shared" si="672"/>
        <v>0</v>
      </c>
      <c r="AM331" s="185">
        <f t="shared" si="672"/>
        <v>0</v>
      </c>
      <c r="AN331" s="185">
        <f>SUM(AN330)</f>
        <v>0</v>
      </c>
      <c r="AO331" s="185">
        <f t="shared" si="673" ref="AO331:AQ331">SUM(AO330)</f>
        <v>0</v>
      </c>
      <c r="AP331" s="997">
        <f t="shared" si="673"/>
        <v>0</v>
      </c>
      <c r="AQ331" s="185">
        <f t="shared" si="673"/>
        <v>0</v>
      </c>
      <c r="AR331" s="185">
        <f t="shared" si="674" ref="AR331:AW331">SUM(AR330)</f>
        <v>0</v>
      </c>
      <c r="AS331" s="185">
        <f t="shared" si="674"/>
        <v>0</v>
      </c>
      <c r="AT331" s="185">
        <f t="shared" si="674"/>
        <v>0</v>
      </c>
      <c r="AU331" s="997">
        <f t="shared" si="674"/>
        <v>0</v>
      </c>
      <c r="AV331" s="185">
        <f t="shared" si="674"/>
        <v>0</v>
      </c>
      <c r="AW331" s="185">
        <f t="shared" si="674"/>
        <v>0</v>
      </c>
      <c r="AX331" s="185">
        <f t="shared" si="675" ref="AX331:BC331">SUM(AX330)</f>
        <v>0</v>
      </c>
      <c r="AY331" s="185">
        <f t="shared" si="675"/>
        <v>0</v>
      </c>
      <c r="AZ331" s="997">
        <f t="shared" si="675"/>
        <v>0</v>
      </c>
      <c r="BA331" s="185">
        <f t="shared" si="675"/>
        <v>0</v>
      </c>
      <c r="BB331" s="185">
        <f t="shared" si="675"/>
        <v>0</v>
      </c>
      <c r="BC331" s="185">
        <f t="shared" si="675"/>
        <v>0</v>
      </c>
      <c r="BD331" s="185">
        <f>SUM(BD330)</f>
        <v>0</v>
      </c>
      <c r="BE331" s="997">
        <f>SUM(BE330)</f>
        <v>0</v>
      </c>
      <c r="BF331" s="185">
        <f>SUM(BF330)</f>
        <v>0</v>
      </c>
      <c r="BG331" s="185">
        <f>SUM(BG330)</f>
        <v>0</v>
      </c>
      <c r="BH331" s="749">
        <f>SUM(BH330)</f>
        <v>0</v>
      </c>
      <c r="BI331" s="199"/>
      <c r="BJ331" s="1009"/>
      <c r="BK331" s="199"/>
      <c r="BL331" s="199"/>
      <c r="BM331" s="199"/>
      <c r="BN331" s="199"/>
      <c r="BO331" s="1009"/>
      <c r="BP331" s="1009"/>
      <c r="BQ331" s="1009"/>
      <c r="BR331" s="1009"/>
      <c r="BS331" s="185"/>
    </row>
    <row r="332" spans="1:71" s="261" customFormat="1" ht="15" hidden="1" outlineLevel="1">
      <c r="A332" s="264" t="s">
        <v>504</v>
      </c>
      <c r="B332" s="468"/>
      <c r="C332" s="1032">
        <v>382</v>
      </c>
      <c r="D332" s="1032">
        <v>388</v>
      </c>
      <c r="E332" s="1032">
        <v>386</v>
      </c>
      <c r="F332" s="1032">
        <v>378</v>
      </c>
      <c r="G332" s="1032">
        <v>361</v>
      </c>
      <c r="H332" s="924">
        <v>92</v>
      </c>
      <c r="I332" s="924">
        <v>92</v>
      </c>
      <c r="J332" s="924">
        <v>93</v>
      </c>
      <c r="K332" s="924">
        <v>92</v>
      </c>
      <c r="L332" s="993">
        <f>SUM(H332,I332,J332,K332)</f>
        <v>369</v>
      </c>
      <c r="M332" s="924">
        <v>92</v>
      </c>
      <c r="N332" s="924">
        <v>92</v>
      </c>
      <c r="O332" s="924">
        <v>94</v>
      </c>
      <c r="P332" s="924">
        <v>95</v>
      </c>
      <c r="Q332" s="993">
        <f>SUM(M332,N332,O332,P332)</f>
        <v>373</v>
      </c>
      <c r="R332" s="924">
        <v>91</v>
      </c>
      <c r="S332" s="924">
        <v>93</v>
      </c>
      <c r="T332" s="924">
        <v>89</v>
      </c>
      <c r="U332" s="924">
        <v>90</v>
      </c>
      <c r="V332" s="993">
        <f>SUM(R332,S332,T332,U332)</f>
        <v>363</v>
      </c>
      <c r="W332" s="924">
        <v>89</v>
      </c>
      <c r="X332" s="924">
        <v>92</v>
      </c>
      <c r="Y332" s="924">
        <v>95</v>
      </c>
      <c r="Z332" s="924">
        <v>93</v>
      </c>
      <c r="AA332" s="993">
        <f>SUM(W332,X332,Y332,Z332)</f>
        <v>369</v>
      </c>
      <c r="AB332" s="924">
        <v>89</v>
      </c>
      <c r="AC332" s="924">
        <v>90</v>
      </c>
      <c r="AD332" s="924">
        <v>86</v>
      </c>
      <c r="AE332" s="924">
        <v>87</v>
      </c>
      <c r="AF332" s="993">
        <f>SUM(AB332,AC332,AD332,AE332)</f>
        <v>352</v>
      </c>
      <c r="AG332" s="924">
        <v>88</v>
      </c>
      <c r="AH332" s="924">
        <v>89</v>
      </c>
      <c r="AI332" s="924">
        <v>84</v>
      </c>
      <c r="AJ332" s="924">
        <v>83</v>
      </c>
      <c r="AK332" s="993">
        <f>SUM(AG332,AH332,AI332,AJ332)</f>
        <v>344</v>
      </c>
      <c r="AL332" s="924">
        <v>84</v>
      </c>
      <c r="AM332" s="924">
        <v>85</v>
      </c>
      <c r="AN332" s="924">
        <v>87</v>
      </c>
      <c r="AO332" s="265">
        <f t="shared" si="676" ref="AO332:AO333">AP332-SUM(AL332,AM332,AN332)</f>
        <v>83</v>
      </c>
      <c r="AP332" s="1032">
        <v>339</v>
      </c>
      <c r="AQ332" s="924">
        <v>82</v>
      </c>
      <c r="AR332" s="924">
        <v>83</v>
      </c>
      <c r="AS332" s="924">
        <v>87</v>
      </c>
      <c r="AT332" s="265">
        <f>AU332-SUM(AQ332,AR332,AS332)</f>
        <v>88</v>
      </c>
      <c r="AU332" s="1032">
        <v>340</v>
      </c>
      <c r="AV332" s="924">
        <v>87</v>
      </c>
      <c r="AW332" s="924">
        <v>88</v>
      </c>
      <c r="AX332" s="924">
        <v>88</v>
      </c>
      <c r="AY332" s="265">
        <f>AZ332-SUM(AV332,AW332,AX332)</f>
        <v>88</v>
      </c>
      <c r="AZ332" s="1032">
        <v>351</v>
      </c>
      <c r="BA332" s="924">
        <v>88</v>
      </c>
      <c r="BB332" s="924">
        <v>92</v>
      </c>
      <c r="BC332" s="924">
        <v>98</v>
      </c>
      <c r="BD332" s="265">
        <f>BE332-SUM(BA332,BB332,BC332)</f>
        <v>98</v>
      </c>
      <c r="BE332" s="1032">
        <v>376</v>
      </c>
      <c r="BF332" s="924">
        <v>98</v>
      </c>
      <c r="BG332" s="924">
        <v>98</v>
      </c>
      <c r="BH332" s="925">
        <v>98</v>
      </c>
      <c r="BI332" s="210"/>
      <c r="BJ332" s="994"/>
      <c r="BK332" s="210"/>
      <c r="BL332" s="210"/>
      <c r="BM332" s="210"/>
      <c r="BN332" s="210"/>
      <c r="BO332" s="994"/>
      <c r="BP332" s="994"/>
      <c r="BQ332" s="994"/>
      <c r="BR332" s="994"/>
      <c r="BS332" s="265"/>
    </row>
    <row r="333" spans="1:71" s="261" customFormat="1" ht="15" hidden="1" outlineLevel="1">
      <c r="A333" s="209" t="s">
        <v>505</v>
      </c>
      <c r="B333" s="469"/>
      <c r="C333" s="1033">
        <v>37</v>
      </c>
      <c r="D333" s="1033">
        <v>27</v>
      </c>
      <c r="E333" s="1033">
        <v>56</v>
      </c>
      <c r="F333" s="1033">
        <v>23</v>
      </c>
      <c r="G333" s="1033">
        <v>20</v>
      </c>
      <c r="H333" s="927">
        <v>7</v>
      </c>
      <c r="I333" s="927">
        <v>9</v>
      </c>
      <c r="J333" s="927">
        <v>6</v>
      </c>
      <c r="K333" s="927">
        <v>9</v>
      </c>
      <c r="L333" s="995">
        <f>SUM(H333,I333,J333,K333)</f>
        <v>31</v>
      </c>
      <c r="M333" s="927">
        <v>7</v>
      </c>
      <c r="N333" s="927">
        <v>7</v>
      </c>
      <c r="O333" s="927">
        <v>8</v>
      </c>
      <c r="P333" s="927">
        <v>9</v>
      </c>
      <c r="Q333" s="995">
        <f>SUM(M333,N333,O333,P333)</f>
        <v>31</v>
      </c>
      <c r="R333" s="927">
        <v>8</v>
      </c>
      <c r="S333" s="927">
        <v>7</v>
      </c>
      <c r="T333" s="927">
        <v>8</v>
      </c>
      <c r="U333" s="927">
        <v>8</v>
      </c>
      <c r="V333" s="995">
        <f>SUM(R333,S333,T333,U333)</f>
        <v>31</v>
      </c>
      <c r="W333" s="927">
        <v>8</v>
      </c>
      <c r="X333" s="927">
        <v>8</v>
      </c>
      <c r="Y333" s="927">
        <v>7</v>
      </c>
      <c r="Z333" s="927">
        <v>9</v>
      </c>
      <c r="AA333" s="995">
        <f>SUM(W333,X333,Y333,Z333)</f>
        <v>32</v>
      </c>
      <c r="AB333" s="927">
        <v>9</v>
      </c>
      <c r="AC333" s="927">
        <v>7</v>
      </c>
      <c r="AD333" s="927">
        <v>8</v>
      </c>
      <c r="AE333" s="927">
        <v>6</v>
      </c>
      <c r="AF333" s="995">
        <f>SUM(AB333,AC333,AD333,AE333)</f>
        <v>30</v>
      </c>
      <c r="AG333" s="927">
        <v>8</v>
      </c>
      <c r="AH333" s="927">
        <v>8</v>
      </c>
      <c r="AI333" s="927">
        <v>8</v>
      </c>
      <c r="AJ333" s="927">
        <v>11</v>
      </c>
      <c r="AK333" s="995">
        <f>SUM(AG333,AH333,AI333,AJ333)</f>
        <v>35</v>
      </c>
      <c r="AL333" s="927">
        <v>7</v>
      </c>
      <c r="AM333" s="927">
        <v>9</v>
      </c>
      <c r="AN333" s="927">
        <v>6</v>
      </c>
      <c r="AO333" s="186">
        <f t="shared" si="676"/>
        <v>9</v>
      </c>
      <c r="AP333" s="1033">
        <v>31</v>
      </c>
      <c r="AQ333" s="927">
        <v>6</v>
      </c>
      <c r="AR333" s="927">
        <v>8</v>
      </c>
      <c r="AS333" s="927">
        <v>8</v>
      </c>
      <c r="AT333" s="186">
        <f>AU333-SUM(AQ333,AR333,AS333)</f>
        <v>7</v>
      </c>
      <c r="AU333" s="1033">
        <v>29</v>
      </c>
      <c r="AV333" s="927">
        <v>8</v>
      </c>
      <c r="AW333" s="927">
        <v>9</v>
      </c>
      <c r="AX333" s="927">
        <v>8</v>
      </c>
      <c r="AY333" s="186">
        <f>AZ333-SUM(AV333,AW333,AX333)</f>
        <v>6</v>
      </c>
      <c r="AZ333" s="1033">
        <v>31</v>
      </c>
      <c r="BA333" s="927">
        <v>9</v>
      </c>
      <c r="BB333" s="927">
        <v>10</v>
      </c>
      <c r="BC333" s="927">
        <v>9</v>
      </c>
      <c r="BD333" s="186">
        <f>BE333-SUM(BA333,BB333,BC333)</f>
        <v>9</v>
      </c>
      <c r="BE333" s="1033">
        <v>37</v>
      </c>
      <c r="BF333" s="927">
        <v>8</v>
      </c>
      <c r="BG333" s="927">
        <v>12</v>
      </c>
      <c r="BH333" s="928">
        <v>11</v>
      </c>
      <c r="BI333" s="205"/>
      <c r="BJ333" s="996"/>
      <c r="BK333" s="205"/>
      <c r="BL333" s="205"/>
      <c r="BM333" s="205"/>
      <c r="BN333" s="205"/>
      <c r="BO333" s="996"/>
      <c r="BP333" s="996"/>
      <c r="BQ333" s="996"/>
      <c r="BR333" s="996"/>
      <c r="BS333" s="265"/>
    </row>
    <row r="334" spans="1:71" s="45" customFormat="1" ht="15" hidden="1" outlineLevel="1">
      <c r="A334" s="197" t="s">
        <v>506</v>
      </c>
      <c r="B334" s="470"/>
      <c r="C334" s="1008">
        <f t="shared" si="677" ref="C334:AM334">SUM(C332:C333)</f>
        <v>419</v>
      </c>
      <c r="D334" s="1008">
        <f t="shared" si="677"/>
        <v>415</v>
      </c>
      <c r="E334" s="1008">
        <f t="shared" si="677"/>
        <v>442</v>
      </c>
      <c r="F334" s="1008">
        <f t="shared" si="677"/>
        <v>401</v>
      </c>
      <c r="G334" s="1008">
        <f t="shared" si="677"/>
        <v>381</v>
      </c>
      <c r="H334" s="185">
        <f t="shared" si="677"/>
        <v>99</v>
      </c>
      <c r="I334" s="185">
        <f t="shared" si="677"/>
        <v>101</v>
      </c>
      <c r="J334" s="185">
        <f t="shared" si="677"/>
        <v>99</v>
      </c>
      <c r="K334" s="185">
        <f t="shared" si="677"/>
        <v>101</v>
      </c>
      <c r="L334" s="1008">
        <f t="shared" si="677"/>
        <v>400</v>
      </c>
      <c r="M334" s="185">
        <f t="shared" si="677"/>
        <v>99</v>
      </c>
      <c r="N334" s="185">
        <f t="shared" si="677"/>
        <v>99</v>
      </c>
      <c r="O334" s="185">
        <f t="shared" si="677"/>
        <v>102</v>
      </c>
      <c r="P334" s="185">
        <f t="shared" si="677"/>
        <v>104</v>
      </c>
      <c r="Q334" s="1008">
        <f t="shared" si="677"/>
        <v>404</v>
      </c>
      <c r="R334" s="185">
        <f t="shared" si="677"/>
        <v>99</v>
      </c>
      <c r="S334" s="185">
        <f t="shared" si="677"/>
        <v>100</v>
      </c>
      <c r="T334" s="185">
        <f t="shared" si="677"/>
        <v>97</v>
      </c>
      <c r="U334" s="185">
        <f t="shared" si="677"/>
        <v>98</v>
      </c>
      <c r="V334" s="1008">
        <f t="shared" si="677"/>
        <v>394</v>
      </c>
      <c r="W334" s="185">
        <f t="shared" si="677"/>
        <v>97</v>
      </c>
      <c r="X334" s="185">
        <f t="shared" si="677"/>
        <v>100</v>
      </c>
      <c r="Y334" s="185">
        <f t="shared" si="677"/>
        <v>102</v>
      </c>
      <c r="Z334" s="185">
        <f t="shared" si="677"/>
        <v>102</v>
      </c>
      <c r="AA334" s="1008">
        <f t="shared" si="677"/>
        <v>401</v>
      </c>
      <c r="AB334" s="185">
        <f t="shared" si="677"/>
        <v>98</v>
      </c>
      <c r="AC334" s="185">
        <f t="shared" si="677"/>
        <v>97</v>
      </c>
      <c r="AD334" s="185">
        <f t="shared" si="677"/>
        <v>94</v>
      </c>
      <c r="AE334" s="185">
        <f t="shared" si="677"/>
        <v>93</v>
      </c>
      <c r="AF334" s="1008">
        <f t="shared" si="677"/>
        <v>382</v>
      </c>
      <c r="AG334" s="185">
        <f t="shared" si="677"/>
        <v>96</v>
      </c>
      <c r="AH334" s="185">
        <f t="shared" si="677"/>
        <v>97</v>
      </c>
      <c r="AI334" s="185">
        <f t="shared" si="677"/>
        <v>92</v>
      </c>
      <c r="AJ334" s="185">
        <f t="shared" si="677"/>
        <v>94</v>
      </c>
      <c r="AK334" s="1008">
        <f t="shared" si="677"/>
        <v>379</v>
      </c>
      <c r="AL334" s="185">
        <f t="shared" si="677"/>
        <v>91</v>
      </c>
      <c r="AM334" s="185">
        <f t="shared" si="677"/>
        <v>94</v>
      </c>
      <c r="AN334" s="185">
        <f>SUM(AN332:AN333)</f>
        <v>93</v>
      </c>
      <c r="AO334" s="185">
        <f t="shared" si="678" ref="AO334:AP334">SUM(AO332:AO333)</f>
        <v>92</v>
      </c>
      <c r="AP334" s="1008">
        <f t="shared" si="678"/>
        <v>370</v>
      </c>
      <c r="AQ334" s="185">
        <f t="shared" si="679" ref="AQ334">SUM(AQ332:AQ333)</f>
        <v>88</v>
      </c>
      <c r="AR334" s="185">
        <f t="shared" si="680" ref="AR334:AW334">SUM(AR332:AR333)</f>
        <v>91</v>
      </c>
      <c r="AS334" s="185">
        <f t="shared" si="680"/>
        <v>95</v>
      </c>
      <c r="AT334" s="185">
        <f t="shared" si="680"/>
        <v>95</v>
      </c>
      <c r="AU334" s="1008">
        <f t="shared" si="680"/>
        <v>369</v>
      </c>
      <c r="AV334" s="185">
        <f t="shared" si="680"/>
        <v>95</v>
      </c>
      <c r="AW334" s="185">
        <f t="shared" si="680"/>
        <v>97</v>
      </c>
      <c r="AX334" s="185">
        <f t="shared" si="681" ref="AX334:BC334">SUM(AX332:AX333)</f>
        <v>96</v>
      </c>
      <c r="AY334" s="185">
        <f t="shared" si="681"/>
        <v>94</v>
      </c>
      <c r="AZ334" s="1008">
        <f t="shared" si="681"/>
        <v>382</v>
      </c>
      <c r="BA334" s="185">
        <f t="shared" si="681"/>
        <v>97</v>
      </c>
      <c r="BB334" s="185">
        <f t="shared" si="681"/>
        <v>102</v>
      </c>
      <c r="BC334" s="185">
        <f t="shared" si="681"/>
        <v>107</v>
      </c>
      <c r="BD334" s="185">
        <f>SUM(BD332:BD333)</f>
        <v>107</v>
      </c>
      <c r="BE334" s="1008">
        <f>SUM(BE332:BE333)</f>
        <v>413</v>
      </c>
      <c r="BF334" s="185">
        <f>SUM(BF332:BF333)</f>
        <v>106</v>
      </c>
      <c r="BG334" s="185">
        <f>SUM(BG332:BG333)</f>
        <v>110</v>
      </c>
      <c r="BH334" s="749">
        <f>SUM(BH332:BH333)</f>
        <v>109</v>
      </c>
      <c r="BI334" s="199"/>
      <c r="BJ334" s="1009"/>
      <c r="BK334" s="199"/>
      <c r="BL334" s="199"/>
      <c r="BM334" s="199"/>
      <c r="BN334" s="199"/>
      <c r="BO334" s="1009"/>
      <c r="BP334" s="1009"/>
      <c r="BQ334" s="1009"/>
      <c r="BR334" s="1009"/>
      <c r="BS334" s="185"/>
    </row>
    <row r="335" spans="1:71" s="45" customFormat="1" ht="15" hidden="1" outlineLevel="1">
      <c r="A335" s="197" t="s">
        <v>507</v>
      </c>
      <c r="B335" s="470"/>
      <c r="C335" s="1008">
        <f t="shared" si="682" ref="C335:AE335">C331-C334</f>
        <v>-409</v>
      </c>
      <c r="D335" s="1008">
        <f t="shared" si="682"/>
        <v>-475</v>
      </c>
      <c r="E335" s="1008">
        <f t="shared" si="682"/>
        <v>-443</v>
      </c>
      <c r="F335" s="1008">
        <f t="shared" si="682"/>
        <v>-413</v>
      </c>
      <c r="G335" s="1008">
        <f t="shared" si="682"/>
        <v>-387</v>
      </c>
      <c r="H335" s="185">
        <f t="shared" si="682"/>
        <v>-100</v>
      </c>
      <c r="I335" s="185">
        <f t="shared" si="682"/>
        <v>-100</v>
      </c>
      <c r="J335" s="185">
        <f t="shared" si="682"/>
        <v>-99</v>
      </c>
      <c r="K335" s="185">
        <f t="shared" si="682"/>
        <v>-101</v>
      </c>
      <c r="L335" s="1008">
        <f t="shared" si="682"/>
        <v>-400</v>
      </c>
      <c r="M335" s="185">
        <f t="shared" si="682"/>
        <v>-99</v>
      </c>
      <c r="N335" s="185">
        <f t="shared" si="682"/>
        <v>-99</v>
      </c>
      <c r="O335" s="185">
        <f t="shared" si="682"/>
        <v>-99</v>
      </c>
      <c r="P335" s="185">
        <f t="shared" si="682"/>
        <v>-101</v>
      </c>
      <c r="Q335" s="1008">
        <f t="shared" si="682"/>
        <v>-398</v>
      </c>
      <c r="R335" s="185">
        <f t="shared" si="682"/>
        <v>-96</v>
      </c>
      <c r="S335" s="185">
        <f t="shared" si="682"/>
        <v>-97</v>
      </c>
      <c r="T335" s="185">
        <f t="shared" si="682"/>
        <v>-94</v>
      </c>
      <c r="U335" s="185">
        <f t="shared" si="682"/>
        <v>-96</v>
      </c>
      <c r="V335" s="1008">
        <f t="shared" si="682"/>
        <v>-383</v>
      </c>
      <c r="W335" s="185">
        <f t="shared" si="682"/>
        <v>-96</v>
      </c>
      <c r="X335" s="185">
        <f t="shared" si="682"/>
        <v>-97</v>
      </c>
      <c r="Y335" s="185">
        <f t="shared" si="682"/>
        <v>-100</v>
      </c>
      <c r="Z335" s="185">
        <f t="shared" si="682"/>
        <v>-102</v>
      </c>
      <c r="AA335" s="1008">
        <f t="shared" si="682"/>
        <v>-395</v>
      </c>
      <c r="AB335" s="185">
        <f t="shared" si="682"/>
        <v>-98</v>
      </c>
      <c r="AC335" s="185">
        <f t="shared" si="682"/>
        <v>-97</v>
      </c>
      <c r="AD335" s="185">
        <f t="shared" si="682"/>
        <v>-92</v>
      </c>
      <c r="AE335" s="185">
        <f t="shared" si="682"/>
        <v>-93</v>
      </c>
      <c r="AF335" s="1008">
        <f>SUM(AB335,AC335,AD335,AE335)</f>
        <v>-380</v>
      </c>
      <c r="AG335" s="185">
        <f>AG331-AG334</f>
        <v>-95</v>
      </c>
      <c r="AH335" s="185">
        <f>AH331-AH334</f>
        <v>-97</v>
      </c>
      <c r="AI335" s="185">
        <f>AI331-AI334</f>
        <v>-92</v>
      </c>
      <c r="AJ335" s="185">
        <f>AJ331-AJ334</f>
        <v>-94</v>
      </c>
      <c r="AK335" s="1008">
        <f>SUM(AG335,AH335,AI335,AJ335)</f>
        <v>-378</v>
      </c>
      <c r="AL335" s="185">
        <f>AL331-AL334</f>
        <v>-91</v>
      </c>
      <c r="AM335" s="185">
        <f>AM331-AM334</f>
        <v>-94</v>
      </c>
      <c r="AN335" s="185">
        <f>AN331-AN334</f>
        <v>-93</v>
      </c>
      <c r="AO335" s="185">
        <f>AO331-AO334</f>
        <v>-92</v>
      </c>
      <c r="AP335" s="1008">
        <f>SUM(AL335,AM335,AN335,AO335)</f>
        <v>-370</v>
      </c>
      <c r="AQ335" s="185">
        <f>AQ331-AQ334</f>
        <v>-88</v>
      </c>
      <c r="AR335" s="185">
        <f>AR331-AR334</f>
        <v>-91</v>
      </c>
      <c r="AS335" s="185">
        <f>AS331-AS334</f>
        <v>-95</v>
      </c>
      <c r="AT335" s="185">
        <f>AT331-AT334</f>
        <v>-95</v>
      </c>
      <c r="AU335" s="1008">
        <f>SUM(AQ335,AR335,AS335,AT335)</f>
        <v>-369</v>
      </c>
      <c r="AV335" s="185">
        <f>AV331-AV334</f>
        <v>-95</v>
      </c>
      <c r="AW335" s="185">
        <f>AW331-AW334</f>
        <v>-97</v>
      </c>
      <c r="AX335" s="185">
        <f>AX331-AX334</f>
        <v>-96</v>
      </c>
      <c r="AY335" s="185">
        <f>AY331-AY334</f>
        <v>-94</v>
      </c>
      <c r="AZ335" s="1008">
        <f>SUM(AV335,AW335,AX335,AY335)</f>
        <v>-382</v>
      </c>
      <c r="BA335" s="185">
        <f>BA331-BA334</f>
        <v>-97</v>
      </c>
      <c r="BB335" s="185">
        <f>BB331-BB334</f>
        <v>-102</v>
      </c>
      <c r="BC335" s="185">
        <f>BC331-BC334</f>
        <v>-107</v>
      </c>
      <c r="BD335" s="185">
        <f>BD331-BD334</f>
        <v>-107</v>
      </c>
      <c r="BE335" s="1008">
        <f>SUM(BA335,BB335,BC335,BD335)</f>
        <v>-413</v>
      </c>
      <c r="BF335" s="185">
        <f>BF331-BF334</f>
        <v>-106</v>
      </c>
      <c r="BG335" s="185">
        <f>BG331-BG334</f>
        <v>-110</v>
      </c>
      <c r="BH335" s="749">
        <f>BH331-BH334</f>
        <v>-109</v>
      </c>
      <c r="BI335" s="199"/>
      <c r="BJ335" s="1009"/>
      <c r="BK335" s="199"/>
      <c r="BL335" s="199"/>
      <c r="BM335" s="199"/>
      <c r="BN335" s="199"/>
      <c r="BO335" s="1009"/>
      <c r="BP335" s="1009"/>
      <c r="BQ335" s="1009"/>
      <c r="BR335" s="1009"/>
      <c r="BS335" s="185"/>
    </row>
    <row r="336" spans="1:71" s="261" customFormat="1" ht="15" hidden="1" outlineLevel="1">
      <c r="A336" s="209" t="s">
        <v>508</v>
      </c>
      <c r="B336" s="469"/>
      <c r="C336" s="1033">
        <v>-176</v>
      </c>
      <c r="D336" s="1033">
        <v>-157</v>
      </c>
      <c r="E336" s="1033">
        <v>-164</v>
      </c>
      <c r="F336" s="1033">
        <v>-152</v>
      </c>
      <c r="G336" s="1033">
        <v>-139</v>
      </c>
      <c r="H336" s="927">
        <v>-36</v>
      </c>
      <c r="I336" s="927">
        <v>-35</v>
      </c>
      <c r="J336" s="927">
        <v>-36</v>
      </c>
      <c r="K336" s="927">
        <v>-36</v>
      </c>
      <c r="L336" s="995">
        <f>SUM(H336,I336,J336,K336)</f>
        <v>-143</v>
      </c>
      <c r="M336" s="927">
        <v>-35</v>
      </c>
      <c r="N336" s="927">
        <v>-37</v>
      </c>
      <c r="O336" s="927">
        <v>-34</v>
      </c>
      <c r="P336" s="927">
        <v>-37</v>
      </c>
      <c r="Q336" s="995">
        <f>SUM(M336,N336,O336,P336)</f>
        <v>-143</v>
      </c>
      <c r="R336" s="927">
        <v>-35</v>
      </c>
      <c r="S336" s="927">
        <v>-35</v>
      </c>
      <c r="T336" s="927">
        <v>-34</v>
      </c>
      <c r="U336" s="927">
        <v>-35</v>
      </c>
      <c r="V336" s="995">
        <f>SUM(R336,S336,T336,U336)</f>
        <v>-139</v>
      </c>
      <c r="W336" s="927">
        <v>-34</v>
      </c>
      <c r="X336" s="927">
        <v>-36</v>
      </c>
      <c r="Y336" s="927">
        <v>-35</v>
      </c>
      <c r="Z336" s="927">
        <v>-36</v>
      </c>
      <c r="AA336" s="995">
        <f>SUM(W336,X336,Y336,Z336)</f>
        <v>-141</v>
      </c>
      <c r="AB336" s="927">
        <v>-22</v>
      </c>
      <c r="AC336" s="927">
        <v>-19</v>
      </c>
      <c r="AD336" s="927">
        <v>-20</v>
      </c>
      <c r="AE336" s="927">
        <v>-21</v>
      </c>
      <c r="AF336" s="995">
        <f>SUM(AB336,AC336,AD336,AE336)</f>
        <v>-82</v>
      </c>
      <c r="AG336" s="927">
        <v>-20</v>
      </c>
      <c r="AH336" s="927">
        <v>-21</v>
      </c>
      <c r="AI336" s="927">
        <v>-21</v>
      </c>
      <c r="AJ336" s="927">
        <v>-19</v>
      </c>
      <c r="AK336" s="995">
        <f>SUM(AG336,AH336,AI336,AJ336)</f>
        <v>-81</v>
      </c>
      <c r="AL336" s="927">
        <v>-20</v>
      </c>
      <c r="AM336" s="927">
        <v>-20</v>
      </c>
      <c r="AN336" s="927">
        <v>-19</v>
      </c>
      <c r="AO336" s="186">
        <f>AP336-SUM(AL336,AM336,AN336)</f>
        <v>-20</v>
      </c>
      <c r="AP336" s="1033">
        <v>-79</v>
      </c>
      <c r="AQ336" s="927">
        <v>-19</v>
      </c>
      <c r="AR336" s="927">
        <v>-19</v>
      </c>
      <c r="AS336" s="927">
        <v>-20</v>
      </c>
      <c r="AT336" s="186">
        <f>AU336-SUM(AQ336,AR336,AS336)</f>
        <v>-20</v>
      </c>
      <c r="AU336" s="1033">
        <v>-78</v>
      </c>
      <c r="AV336" s="927">
        <v>-21</v>
      </c>
      <c r="AW336" s="927">
        <v>-21</v>
      </c>
      <c r="AX336" s="927">
        <v>-20</v>
      </c>
      <c r="AY336" s="186">
        <f>AZ336-SUM(AV336,AW336,AX336)</f>
        <v>-19</v>
      </c>
      <c r="AZ336" s="1033">
        <v>-81</v>
      </c>
      <c r="BA336" s="927">
        <v>-21</v>
      </c>
      <c r="BB336" s="927">
        <v>-23</v>
      </c>
      <c r="BC336" s="927">
        <v>-21</v>
      </c>
      <c r="BD336" s="186">
        <f>BE336-SUM(BA336,BB336,BC336)</f>
        <v>-23</v>
      </c>
      <c r="BE336" s="1033">
        <v>-88</v>
      </c>
      <c r="BF336" s="927">
        <v>-23</v>
      </c>
      <c r="BG336" s="927">
        <v>-22</v>
      </c>
      <c r="BH336" s="928">
        <v>-23</v>
      </c>
      <c r="BI336" s="205"/>
      <c r="BJ336" s="996"/>
      <c r="BK336" s="205"/>
      <c r="BL336" s="205"/>
      <c r="BM336" s="205"/>
      <c r="BN336" s="205"/>
      <c r="BO336" s="996"/>
      <c r="BP336" s="996"/>
      <c r="BQ336" s="996"/>
      <c r="BR336" s="996"/>
      <c r="BS336" s="265"/>
    </row>
    <row r="337" spans="1:71" s="45" customFormat="1" ht="15" hidden="1" outlineLevel="1">
      <c r="A337" s="197" t="s">
        <v>509</v>
      </c>
      <c r="B337" s="470"/>
      <c r="C337" s="1008">
        <f t="shared" si="683" ref="C337:AM337">C335-C336</f>
        <v>-233</v>
      </c>
      <c r="D337" s="1008">
        <f t="shared" si="683"/>
        <v>-318</v>
      </c>
      <c r="E337" s="1008">
        <f t="shared" si="683"/>
        <v>-279</v>
      </c>
      <c r="F337" s="1008">
        <f t="shared" si="683"/>
        <v>-261</v>
      </c>
      <c r="G337" s="1008">
        <f t="shared" si="683"/>
        <v>-248</v>
      </c>
      <c r="H337" s="185">
        <f t="shared" si="683"/>
        <v>-64</v>
      </c>
      <c r="I337" s="185">
        <f t="shared" si="683"/>
        <v>-65</v>
      </c>
      <c r="J337" s="185">
        <f t="shared" si="683"/>
        <v>-63</v>
      </c>
      <c r="K337" s="185">
        <f t="shared" si="683"/>
        <v>-65</v>
      </c>
      <c r="L337" s="1008">
        <f t="shared" si="683"/>
        <v>-257</v>
      </c>
      <c r="M337" s="185">
        <f t="shared" si="683"/>
        <v>-64</v>
      </c>
      <c r="N337" s="185">
        <f t="shared" si="683"/>
        <v>-62</v>
      </c>
      <c r="O337" s="185">
        <f t="shared" si="683"/>
        <v>-65</v>
      </c>
      <c r="P337" s="185">
        <f t="shared" si="683"/>
        <v>-64</v>
      </c>
      <c r="Q337" s="1008">
        <f t="shared" si="683"/>
        <v>-255</v>
      </c>
      <c r="R337" s="185">
        <f t="shared" si="683"/>
        <v>-61</v>
      </c>
      <c r="S337" s="185">
        <f t="shared" si="683"/>
        <v>-62</v>
      </c>
      <c r="T337" s="185">
        <f t="shared" si="683"/>
        <v>-60</v>
      </c>
      <c r="U337" s="185">
        <f t="shared" si="683"/>
        <v>-61</v>
      </c>
      <c r="V337" s="1008">
        <f t="shared" si="683"/>
        <v>-244</v>
      </c>
      <c r="W337" s="185">
        <f t="shared" si="683"/>
        <v>-62</v>
      </c>
      <c r="X337" s="185">
        <f t="shared" si="683"/>
        <v>-61</v>
      </c>
      <c r="Y337" s="185">
        <f t="shared" si="683"/>
        <v>-65</v>
      </c>
      <c r="Z337" s="185">
        <f t="shared" si="683"/>
        <v>-66</v>
      </c>
      <c r="AA337" s="1008">
        <f t="shared" si="683"/>
        <v>-254</v>
      </c>
      <c r="AB337" s="185">
        <f t="shared" si="683"/>
        <v>-76</v>
      </c>
      <c r="AC337" s="185">
        <f t="shared" si="683"/>
        <v>-78</v>
      </c>
      <c r="AD337" s="185">
        <f t="shared" si="683"/>
        <v>-72</v>
      </c>
      <c r="AE337" s="185">
        <f t="shared" si="683"/>
        <v>-72</v>
      </c>
      <c r="AF337" s="1008">
        <f t="shared" si="683"/>
        <v>-298</v>
      </c>
      <c r="AG337" s="185">
        <f t="shared" si="683"/>
        <v>-75</v>
      </c>
      <c r="AH337" s="185">
        <f t="shared" si="683"/>
        <v>-76</v>
      </c>
      <c r="AI337" s="185">
        <f t="shared" si="683"/>
        <v>-71</v>
      </c>
      <c r="AJ337" s="185">
        <f t="shared" si="683"/>
        <v>-75</v>
      </c>
      <c r="AK337" s="1008">
        <f t="shared" si="683"/>
        <v>-297</v>
      </c>
      <c r="AL337" s="185">
        <f t="shared" si="683"/>
        <v>-71</v>
      </c>
      <c r="AM337" s="185">
        <f t="shared" si="683"/>
        <v>-74</v>
      </c>
      <c r="AN337" s="185">
        <f>AN335-AN336</f>
        <v>-74</v>
      </c>
      <c r="AO337" s="185">
        <f t="shared" si="684" ref="AO337:AQ337">AO335-AO336</f>
        <v>-72</v>
      </c>
      <c r="AP337" s="1008">
        <f t="shared" si="684"/>
        <v>-291</v>
      </c>
      <c r="AQ337" s="185">
        <f t="shared" si="684"/>
        <v>-69</v>
      </c>
      <c r="AR337" s="185">
        <f t="shared" si="685" ref="AR337:AW337">AR335-AR336</f>
        <v>-72</v>
      </c>
      <c r="AS337" s="185">
        <f t="shared" si="685"/>
        <v>-75</v>
      </c>
      <c r="AT337" s="185">
        <f t="shared" si="685"/>
        <v>-75</v>
      </c>
      <c r="AU337" s="1008">
        <f t="shared" si="685"/>
        <v>-291</v>
      </c>
      <c r="AV337" s="185">
        <f t="shared" si="685"/>
        <v>-74</v>
      </c>
      <c r="AW337" s="185">
        <f t="shared" si="685"/>
        <v>-76</v>
      </c>
      <c r="AX337" s="185">
        <f t="shared" si="686" ref="AX337:BC337">AX335-AX336</f>
        <v>-76</v>
      </c>
      <c r="AY337" s="185">
        <f t="shared" si="686"/>
        <v>-75</v>
      </c>
      <c r="AZ337" s="1008">
        <f t="shared" si="686"/>
        <v>-301</v>
      </c>
      <c r="BA337" s="185">
        <f t="shared" si="686"/>
        <v>-76</v>
      </c>
      <c r="BB337" s="185">
        <f t="shared" si="686"/>
        <v>-79</v>
      </c>
      <c r="BC337" s="185">
        <f t="shared" si="686"/>
        <v>-86</v>
      </c>
      <c r="BD337" s="185">
        <f>BD335-BD336</f>
        <v>-84</v>
      </c>
      <c r="BE337" s="1008">
        <f>BE335-BE336</f>
        <v>-325</v>
      </c>
      <c r="BF337" s="185">
        <f>BF335-BF336</f>
        <v>-83</v>
      </c>
      <c r="BG337" s="185">
        <f>BG335-BG336</f>
        <v>-88</v>
      </c>
      <c r="BH337" s="749">
        <f>BH335-BH336</f>
        <v>-86</v>
      </c>
      <c r="BI337" s="199"/>
      <c r="BJ337" s="1009"/>
      <c r="BK337" s="199"/>
      <c r="BL337" s="199"/>
      <c r="BM337" s="199"/>
      <c r="BN337" s="199"/>
      <c r="BO337" s="1009"/>
      <c r="BP337" s="1009"/>
      <c r="BQ337" s="1009"/>
      <c r="BR337" s="1009"/>
      <c r="BS337" s="185"/>
    </row>
    <row r="338" spans="1:71" s="24" customFormat="1" ht="15" collapsed="1">
      <c r="A338" s="449"/>
      <c r="B338" s="445"/>
      <c r="C338" s="1011"/>
      <c r="D338" s="1011"/>
      <c r="E338" s="1011"/>
      <c r="F338" s="1011"/>
      <c r="G338" s="1011"/>
      <c r="H338" s="857"/>
      <c r="I338" s="857"/>
      <c r="J338" s="857"/>
      <c r="K338" s="857"/>
      <c r="L338" s="1011"/>
      <c r="M338" s="857"/>
      <c r="N338" s="857"/>
      <c r="O338" s="857"/>
      <c r="P338" s="857"/>
      <c r="Q338" s="1011"/>
      <c r="R338" s="857"/>
      <c r="S338" s="857"/>
      <c r="T338" s="857"/>
      <c r="U338" s="857"/>
      <c r="V338" s="1011"/>
      <c r="W338" s="857"/>
      <c r="X338" s="857"/>
      <c r="Y338" s="857"/>
      <c r="Z338" s="857"/>
      <c r="AA338" s="1011"/>
      <c r="AB338" s="857"/>
      <c r="AC338" s="857"/>
      <c r="AD338" s="857"/>
      <c r="AE338" s="857"/>
      <c r="AF338" s="1011"/>
      <c r="AG338" s="857"/>
      <c r="AH338" s="857"/>
      <c r="AI338" s="857"/>
      <c r="AJ338" s="857"/>
      <c r="AK338" s="1011"/>
      <c r="AL338" s="857"/>
      <c r="AM338" s="857"/>
      <c r="AN338" s="857"/>
      <c r="AO338" s="857"/>
      <c r="AP338" s="1011"/>
      <c r="AQ338" s="857"/>
      <c r="AR338" s="857"/>
      <c r="AS338" s="857"/>
      <c r="AT338" s="857"/>
      <c r="AU338" s="1011"/>
      <c r="AV338" s="857"/>
      <c r="AW338" s="857"/>
      <c r="AX338" s="857"/>
      <c r="AY338" s="857"/>
      <c r="AZ338" s="1011"/>
      <c r="BA338" s="857"/>
      <c r="BB338" s="857"/>
      <c r="BC338" s="857"/>
      <c r="BD338" s="857"/>
      <c r="BE338" s="1011"/>
      <c r="BF338" s="857"/>
      <c r="BG338" s="857"/>
      <c r="BH338" s="858"/>
      <c r="BI338" s="857"/>
      <c r="BJ338" s="1011"/>
      <c r="BK338" s="857"/>
      <c r="BL338" s="857"/>
      <c r="BM338" s="857"/>
      <c r="BN338" s="857"/>
      <c r="BO338" s="1011"/>
      <c r="BP338" s="1011"/>
      <c r="BQ338" s="1011"/>
      <c r="BR338" s="1011"/>
      <c r="BS338" s="833"/>
    </row>
    <row r="339" spans="1:71" s="181" customFormat="1" ht="15">
      <c r="A339" s="826" t="s">
        <v>586</v>
      </c>
      <c r="B339" s="826"/>
      <c r="C339" s="847"/>
      <c r="D339" s="847"/>
      <c r="E339" s="847"/>
      <c r="F339" s="847"/>
      <c r="G339" s="847"/>
      <c r="H339" s="847"/>
      <c r="I339" s="847"/>
      <c r="J339" s="847"/>
      <c r="K339" s="847"/>
      <c r="L339" s="847"/>
      <c r="M339" s="847"/>
      <c r="N339" s="847"/>
      <c r="O339" s="847"/>
      <c r="P339" s="847"/>
      <c r="Q339" s="847"/>
      <c r="R339" s="847"/>
      <c r="S339" s="847"/>
      <c r="T339" s="847"/>
      <c r="U339" s="847"/>
      <c r="V339" s="847"/>
      <c r="W339" s="847"/>
      <c r="X339" s="847"/>
      <c r="Y339" s="847"/>
      <c r="Z339" s="847"/>
      <c r="AA339" s="847"/>
      <c r="AB339" s="847"/>
      <c r="AC339" s="847"/>
      <c r="AD339" s="847"/>
      <c r="AE339" s="847"/>
      <c r="AF339" s="847"/>
      <c r="AG339" s="847"/>
      <c r="AH339" s="847"/>
      <c r="AI339" s="847"/>
      <c r="AJ339" s="847"/>
      <c r="AK339" s="847"/>
      <c r="AL339" s="847"/>
      <c r="AM339" s="847"/>
      <c r="AN339" s="847"/>
      <c r="AO339" s="847"/>
      <c r="AP339" s="847"/>
      <c r="AQ339" s="847"/>
      <c r="AR339" s="847"/>
      <c r="AS339" s="847"/>
      <c r="AT339" s="847"/>
      <c r="AU339" s="847"/>
      <c r="AV339" s="847"/>
      <c r="AW339" s="847"/>
      <c r="AX339" s="847"/>
      <c r="AY339" s="847"/>
      <c r="AZ339" s="847"/>
      <c r="BA339" s="847"/>
      <c r="BB339" s="847"/>
      <c r="BC339" s="847"/>
      <c r="BD339" s="847"/>
      <c r="BE339" s="847"/>
      <c r="BF339" s="847"/>
      <c r="BG339" s="847"/>
      <c r="BH339" s="848"/>
      <c r="BI339" s="847"/>
      <c r="BJ339" s="847"/>
      <c r="BK339" s="847"/>
      <c r="BL339" s="847"/>
      <c r="BM339" s="847"/>
      <c r="BN339" s="847"/>
      <c r="BO339" s="847"/>
      <c r="BP339" s="847"/>
      <c r="BQ339" s="847"/>
      <c r="BR339" s="847"/>
      <c r="BS339" s="423"/>
    </row>
    <row r="340" spans="1:71" s="261" customFormat="1" ht="15" hidden="1" outlineLevel="1">
      <c r="A340" s="625" t="s">
        <v>587</v>
      </c>
      <c r="B340" s="468"/>
      <c r="C340" s="1032">
        <v>32000</v>
      </c>
      <c r="D340" s="1032">
        <v>32000</v>
      </c>
      <c r="E340" s="1032">
        <v>30600</v>
      </c>
      <c r="F340" s="1032">
        <v>30500</v>
      </c>
      <c r="G340" s="1032">
        <v>30800</v>
      </c>
      <c r="H340" s="210"/>
      <c r="I340" s="210"/>
      <c r="J340" s="210"/>
      <c r="K340" s="210"/>
      <c r="L340" s="1032">
        <v>30200</v>
      </c>
      <c r="M340" s="210"/>
      <c r="N340" s="210"/>
      <c r="O340" s="210"/>
      <c r="P340" s="210"/>
      <c r="Q340" s="1032">
        <v>30900</v>
      </c>
      <c r="R340" s="210"/>
      <c r="S340" s="210"/>
      <c r="T340" s="210"/>
      <c r="U340" s="210"/>
      <c r="V340" s="1032">
        <v>30900</v>
      </c>
      <c r="W340" s="210"/>
      <c r="X340" s="210"/>
      <c r="Y340" s="210"/>
      <c r="Z340" s="210"/>
      <c r="AA340" s="1032">
        <v>30800</v>
      </c>
      <c r="AB340" s="210"/>
      <c r="AC340" s="210"/>
      <c r="AD340" s="210"/>
      <c r="AE340" s="210"/>
      <c r="AF340" s="1032">
        <v>30400</v>
      </c>
      <c r="AG340" s="210"/>
      <c r="AH340" s="210"/>
      <c r="AI340" s="210"/>
      <c r="AJ340" s="210"/>
      <c r="AK340" s="1032">
        <v>30800</v>
      </c>
      <c r="AL340" s="210"/>
      <c r="AM340" s="210"/>
      <c r="AN340" s="210"/>
      <c r="AO340" s="210"/>
      <c r="AP340" s="1032">
        <v>30600</v>
      </c>
      <c r="AQ340" s="210"/>
      <c r="AR340" s="210"/>
      <c r="AS340" s="210"/>
      <c r="AT340" s="210"/>
      <c r="AU340" s="1032">
        <v>30800</v>
      </c>
      <c r="AV340" s="210"/>
      <c r="AW340" s="210"/>
      <c r="AX340" s="210"/>
      <c r="AY340" s="210"/>
      <c r="AZ340" s="1032">
        <v>32500</v>
      </c>
      <c r="BA340" s="210"/>
      <c r="BB340" s="210"/>
      <c r="BC340" s="210"/>
      <c r="BD340" s="210"/>
      <c r="BE340" s="1032">
        <v>33300</v>
      </c>
      <c r="BF340" s="210"/>
      <c r="BG340" s="210"/>
      <c r="BH340" s="553"/>
      <c r="BI340" s="210"/>
      <c r="BJ340" s="994"/>
      <c r="BK340" s="210"/>
      <c r="BL340" s="210"/>
      <c r="BM340" s="210"/>
      <c r="BN340" s="210"/>
      <c r="BO340" s="994"/>
      <c r="BP340" s="994"/>
      <c r="BQ340" s="994"/>
      <c r="BR340" s="994"/>
      <c r="BS340" s="265"/>
    </row>
    <row r="341" spans="1:71" s="24" customFormat="1" ht="15" collapsed="1">
      <c r="A341" s="449"/>
      <c r="B341" s="445"/>
      <c r="C341" s="1011"/>
      <c r="D341" s="1011"/>
      <c r="E341" s="1011"/>
      <c r="F341" s="1011"/>
      <c r="G341" s="1011"/>
      <c r="H341" s="857"/>
      <c r="I341" s="857"/>
      <c r="J341" s="857"/>
      <c r="K341" s="857"/>
      <c r="L341" s="1011"/>
      <c r="M341" s="857"/>
      <c r="N341" s="857"/>
      <c r="O341" s="857"/>
      <c r="P341" s="857"/>
      <c r="Q341" s="1011"/>
      <c r="R341" s="857"/>
      <c r="S341" s="857"/>
      <c r="T341" s="857"/>
      <c r="U341" s="857"/>
      <c r="V341" s="1011"/>
      <c r="W341" s="857"/>
      <c r="X341" s="857"/>
      <c r="Y341" s="857"/>
      <c r="Z341" s="857"/>
      <c r="AA341" s="1011"/>
      <c r="AB341" s="857"/>
      <c r="AC341" s="857"/>
      <c r="AD341" s="857"/>
      <c r="AE341" s="857"/>
      <c r="AF341" s="1011"/>
      <c r="AG341" s="857"/>
      <c r="AH341" s="857"/>
      <c r="AI341" s="857"/>
      <c r="AJ341" s="857"/>
      <c r="AK341" s="1011"/>
      <c r="AL341" s="857"/>
      <c r="AM341" s="857"/>
      <c r="AN341" s="857"/>
      <c r="AO341" s="857"/>
      <c r="AP341" s="1011"/>
      <c r="AQ341" s="857"/>
      <c r="AR341" s="857"/>
      <c r="AS341" s="857"/>
      <c r="AT341" s="857"/>
      <c r="AU341" s="1011"/>
      <c r="AV341" s="857"/>
      <c r="AW341" s="857"/>
      <c r="AX341" s="857"/>
      <c r="AY341" s="857"/>
      <c r="AZ341" s="1011"/>
      <c r="BA341" s="857"/>
      <c r="BB341" s="857"/>
      <c r="BC341" s="857"/>
      <c r="BD341" s="857"/>
      <c r="BE341" s="1011"/>
      <c r="BF341" s="857"/>
      <c r="BG341" s="857"/>
      <c r="BH341" s="858"/>
      <c r="BI341" s="857"/>
      <c r="BJ341" s="1011"/>
      <c r="BK341" s="857"/>
      <c r="BL341" s="857"/>
      <c r="BM341" s="857"/>
      <c r="BN341" s="857"/>
      <c r="BO341" s="1011"/>
      <c r="BP341" s="1011"/>
      <c r="BQ341" s="1011"/>
      <c r="BR341" s="1011"/>
      <c r="BS341" s="833"/>
    </row>
    <row r="342" spans="1:71" s="181" customFormat="1" ht="15">
      <c r="A342" s="826" t="s">
        <v>103</v>
      </c>
      <c r="B342" s="826"/>
      <c r="C342" s="847"/>
      <c r="D342" s="847"/>
      <c r="E342" s="847"/>
      <c r="F342" s="847"/>
      <c r="G342" s="847"/>
      <c r="H342" s="847"/>
      <c r="I342" s="847"/>
      <c r="J342" s="847"/>
      <c r="K342" s="847"/>
      <c r="L342" s="847"/>
      <c r="M342" s="847"/>
      <c r="N342" s="847"/>
      <c r="O342" s="847"/>
      <c r="P342" s="847"/>
      <c r="Q342" s="847"/>
      <c r="R342" s="847"/>
      <c r="S342" s="847"/>
      <c r="T342" s="847"/>
      <c r="U342" s="847"/>
      <c r="V342" s="847"/>
      <c r="W342" s="847"/>
      <c r="X342" s="847"/>
      <c r="Y342" s="847"/>
      <c r="Z342" s="847"/>
      <c r="AA342" s="847"/>
      <c r="AB342" s="847"/>
      <c r="AC342" s="847"/>
      <c r="AD342" s="847"/>
      <c r="AE342" s="847"/>
      <c r="AF342" s="847"/>
      <c r="AG342" s="847"/>
      <c r="AH342" s="847"/>
      <c r="AI342" s="847"/>
      <c r="AJ342" s="847"/>
      <c r="AK342" s="847"/>
      <c r="AL342" s="847"/>
      <c r="AM342" s="847"/>
      <c r="AN342" s="847"/>
      <c r="AO342" s="847"/>
      <c r="AP342" s="847"/>
      <c r="AQ342" s="847"/>
      <c r="AR342" s="847"/>
      <c r="AS342" s="847"/>
      <c r="AT342" s="847"/>
      <c r="AU342" s="847"/>
      <c r="AV342" s="847"/>
      <c r="AW342" s="847"/>
      <c r="AX342" s="847"/>
      <c r="AY342" s="847"/>
      <c r="AZ342" s="847"/>
      <c r="BA342" s="847"/>
      <c r="BB342" s="847"/>
      <c r="BC342" s="847"/>
      <c r="BD342" s="847"/>
      <c r="BE342" s="847"/>
      <c r="BF342" s="847"/>
      <c r="BG342" s="847"/>
      <c r="BH342" s="848"/>
      <c r="BI342" s="847"/>
      <c r="BJ342" s="847"/>
      <c r="BK342" s="847"/>
      <c r="BL342" s="847"/>
      <c r="BM342" s="847"/>
      <c r="BN342" s="847"/>
      <c r="BO342" s="847"/>
      <c r="BP342" s="847"/>
      <c r="BQ342" s="847"/>
      <c r="BR342" s="847"/>
      <c r="BS342" s="423"/>
    </row>
    <row r="343" spans="1:71" s="24" customFormat="1" ht="15" hidden="1" outlineLevel="1">
      <c r="A343" s="263" t="s">
        <v>104</v>
      </c>
      <c r="B343" s="462"/>
      <c r="C343" s="1032">
        <v>21418</v>
      </c>
      <c r="D343" s="1032">
        <v>21432</v>
      </c>
      <c r="E343" s="1032">
        <v>22090</v>
      </c>
      <c r="F343" s="1032">
        <v>22357</v>
      </c>
      <c r="G343" s="1032">
        <v>22637</v>
      </c>
      <c r="H343" s="924">
        <v>5823</v>
      </c>
      <c r="I343" s="924">
        <v>5928</v>
      </c>
      <c r="J343" s="924">
        <v>5983</v>
      </c>
      <c r="K343" s="210">
        <f>L343-SUM(H343,I343,J343)</f>
        <v>5979</v>
      </c>
      <c r="L343" s="1032">
        <v>23713</v>
      </c>
      <c r="M343" s="924">
        <v>5888</v>
      </c>
      <c r="N343" s="924">
        <v>5931</v>
      </c>
      <c r="O343" s="924">
        <v>6032</v>
      </c>
      <c r="P343" s="210">
        <f>Q343-SUM(M343,N343,O343)</f>
        <v>6023</v>
      </c>
      <c r="Q343" s="1032">
        <v>23874</v>
      </c>
      <c r="R343" s="924">
        <v>5981</v>
      </c>
      <c r="S343" s="924">
        <v>6067</v>
      </c>
      <c r="T343" s="924">
        <v>6209</v>
      </c>
      <c r="U343" s="210">
        <f>V343-SUM(R343,S343,T343)</f>
        <v>6277</v>
      </c>
      <c r="V343" s="1032">
        <v>24534</v>
      </c>
      <c r="W343" s="924">
        <v>6183</v>
      </c>
      <c r="X343" s="924">
        <v>6351</v>
      </c>
      <c r="Y343" s="924">
        <v>6523</v>
      </c>
      <c r="Z343" s="265">
        <f>AA343-SUM(W343,X343,Y343)</f>
        <v>6626</v>
      </c>
      <c r="AA343" s="1032">
        <v>25683</v>
      </c>
      <c r="AB343" s="924">
        <v>6537</v>
      </c>
      <c r="AC343" s="924">
        <v>6695</v>
      </c>
      <c r="AD343" s="924">
        <v>6882</v>
      </c>
      <c r="AE343" s="265">
        <f>AF343-SUM(AB343,AC343,AD343)</f>
        <v>6945</v>
      </c>
      <c r="AF343" s="1032">
        <v>27059</v>
      </c>
      <c r="AG343" s="924">
        <v>6855</v>
      </c>
      <c r="AH343" s="924">
        <v>6988</v>
      </c>
      <c r="AI343" s="924">
        <v>7179</v>
      </c>
      <c r="AJ343" s="265">
        <f>AK343-SUM(AG343,AH343,AI343)</f>
        <v>7250</v>
      </c>
      <c r="AK343" s="1032">
        <v>28272</v>
      </c>
      <c r="AL343" s="924">
        <v>7229</v>
      </c>
      <c r="AM343" s="924">
        <v>6955</v>
      </c>
      <c r="AN343" s="924">
        <v>7380</v>
      </c>
      <c r="AO343" s="265">
        <f>AP343-SUM(AL343,AM343,AN343)</f>
        <v>7480</v>
      </c>
      <c r="AP343" s="1032">
        <v>29044</v>
      </c>
      <c r="AQ343" s="924">
        <v>7386</v>
      </c>
      <c r="AR343" s="924">
        <v>7616</v>
      </c>
      <c r="AS343" s="924">
        <v>7829</v>
      </c>
      <c r="AT343" s="265">
        <f>AU343-SUM(AQ343,AR343,AS343)</f>
        <v>8024</v>
      </c>
      <c r="AU343" s="1032">
        <v>30855</v>
      </c>
      <c r="AV343" s="924">
        <v>8014</v>
      </c>
      <c r="AW343" s="924">
        <v>8317</v>
      </c>
      <c r="AX343" s="924">
        <v>8615</v>
      </c>
      <c r="AY343" s="265">
        <f>AZ343-SUM(AV343,AW343,AX343)</f>
        <v>8817</v>
      </c>
      <c r="AZ343" s="1032">
        <v>33763</v>
      </c>
      <c r="BA343" s="924">
        <v>8854</v>
      </c>
      <c r="BB343" s="924">
        <v>9216</v>
      </c>
      <c r="BC343" s="924">
        <v>9718</v>
      </c>
      <c r="BD343" s="265">
        <f>BE343-SUM(BA343,BB343,BC343)</f>
        <v>9973</v>
      </c>
      <c r="BE343" s="1032">
        <v>37761</v>
      </c>
      <c r="BF343" s="924">
        <v>10126</v>
      </c>
      <c r="BG343" s="924">
        <v>10243</v>
      </c>
      <c r="BH343" s="925">
        <v>10704</v>
      </c>
      <c r="BI343" s="210"/>
      <c r="BJ343" s="994"/>
      <c r="BK343" s="210"/>
      <c r="BL343" s="210"/>
      <c r="BM343" s="210"/>
      <c r="BN343" s="210"/>
      <c r="BO343" s="994"/>
      <c r="BP343" s="994"/>
      <c r="BQ343" s="994"/>
      <c r="BR343" s="994"/>
      <c r="BS343" s="833"/>
    </row>
    <row r="344" spans="1:71" s="24" customFormat="1" ht="15" hidden="1" outlineLevel="1">
      <c r="A344" s="263" t="s">
        <v>105</v>
      </c>
      <c r="B344" s="462"/>
      <c r="C344" s="1032">
        <v>2776</v>
      </c>
      <c r="D344" s="1032">
        <v>3059</v>
      </c>
      <c r="E344" s="1032">
        <v>2879</v>
      </c>
      <c r="F344" s="1032">
        <v>2889</v>
      </c>
      <c r="G344" s="1032">
        <v>2716</v>
      </c>
      <c r="H344" s="924">
        <v>736</v>
      </c>
      <c r="I344" s="924">
        <v>695</v>
      </c>
      <c r="J344" s="924">
        <v>719</v>
      </c>
      <c r="K344" s="210">
        <f>L344-SUM(H344,I344,J344)</f>
        <v>637</v>
      </c>
      <c r="L344" s="1032">
        <v>2787</v>
      </c>
      <c r="M344" s="924">
        <v>592</v>
      </c>
      <c r="N344" s="924">
        <v>632</v>
      </c>
      <c r="O344" s="924">
        <v>614</v>
      </c>
      <c r="P344" s="210">
        <f>Q344-SUM(M344,N344,O344)</f>
        <v>541</v>
      </c>
      <c r="Q344" s="1032">
        <v>2379</v>
      </c>
      <c r="R344" s="924">
        <v>544</v>
      </c>
      <c r="S344" s="924">
        <v>549</v>
      </c>
      <c r="T344" s="924">
        <v>582</v>
      </c>
      <c r="U344" s="210">
        <f>V344-SUM(R344,S344,T344)</f>
        <v>627</v>
      </c>
      <c r="V344" s="1032">
        <v>2302</v>
      </c>
      <c r="W344" s="924">
        <v>610</v>
      </c>
      <c r="X344" s="924">
        <v>598</v>
      </c>
      <c r="Y344" s="924">
        <v>588</v>
      </c>
      <c r="Z344" s="265">
        <f>AA344-SUM(W344,X344,Y344)</f>
        <v>601</v>
      </c>
      <c r="AA344" s="1032">
        <v>2397</v>
      </c>
      <c r="AB344" s="924">
        <v>603</v>
      </c>
      <c r="AC344" s="924">
        <v>595</v>
      </c>
      <c r="AD344" s="924">
        <v>646</v>
      </c>
      <c r="AE344" s="265">
        <f>AF344-SUM(AB344,AC344,AD344)</f>
        <v>630</v>
      </c>
      <c r="AF344" s="1032">
        <v>2474</v>
      </c>
      <c r="AG344" s="924">
        <v>582</v>
      </c>
      <c r="AH344" s="924">
        <v>648</v>
      </c>
      <c r="AI344" s="924">
        <v>622</v>
      </c>
      <c r="AJ344" s="265">
        <f>AK344-SUM(AG344,AH344,AI344)</f>
        <v>616</v>
      </c>
      <c r="AK344" s="1032">
        <v>2468</v>
      </c>
      <c r="AL344" s="924">
        <v>611</v>
      </c>
      <c r="AM344" s="924">
        <v>268</v>
      </c>
      <c r="AN344" s="924">
        <v>671</v>
      </c>
      <c r="AO344" s="265">
        <f>AP344-SUM(AL344,AM344,AN344)</f>
        <v>677</v>
      </c>
      <c r="AP344" s="1032">
        <v>2227</v>
      </c>
      <c r="AQ344" s="924">
        <v>701</v>
      </c>
      <c r="AR344" s="924">
        <v>818</v>
      </c>
      <c r="AS344" s="924">
        <v>771</v>
      </c>
      <c r="AT344" s="265">
        <f>AU344-SUM(AQ344,AR344,AS344)</f>
        <v>743</v>
      </c>
      <c r="AU344" s="1032">
        <v>3033</v>
      </c>
      <c r="AV344" s="924">
        <v>637</v>
      </c>
      <c r="AW344" s="924">
        <v>707</v>
      </c>
      <c r="AX344" s="924">
        <v>593</v>
      </c>
      <c r="AY344" s="265">
        <f>AZ344-SUM(AV344,AW344,AX344)</f>
        <v>625</v>
      </c>
      <c r="AZ344" s="1032">
        <v>2562</v>
      </c>
      <c r="BA344" s="924">
        <v>663</v>
      </c>
      <c r="BB344" s="924">
        <v>712</v>
      </c>
      <c r="BC344" s="924">
        <v>769</v>
      </c>
      <c r="BD344" s="265">
        <f>BE344-SUM(BA344,BB344,BC344)</f>
        <v>778</v>
      </c>
      <c r="BE344" s="1032">
        <v>2922</v>
      </c>
      <c r="BF344" s="924">
        <v>846</v>
      </c>
      <c r="BG344" s="924">
        <v>885</v>
      </c>
      <c r="BH344" s="925">
        <v>904</v>
      </c>
      <c r="BI344" s="210"/>
      <c r="BJ344" s="994"/>
      <c r="BK344" s="210"/>
      <c r="BL344" s="210"/>
      <c r="BM344" s="210"/>
      <c r="BN344" s="210"/>
      <c r="BO344" s="994"/>
      <c r="BP344" s="994"/>
      <c r="BQ344" s="994"/>
      <c r="BR344" s="994"/>
      <c r="BS344" s="833"/>
    </row>
    <row r="345" spans="1:71" s="24" customFormat="1" ht="15" hidden="1" outlineLevel="1">
      <c r="A345" s="263" t="s">
        <v>106</v>
      </c>
      <c r="B345" s="462"/>
      <c r="C345" s="1032">
        <v>306</v>
      </c>
      <c r="D345" s="1032">
        <v>287</v>
      </c>
      <c r="E345" s="1032">
        <v>296</v>
      </c>
      <c r="F345" s="1032">
        <v>323</v>
      </c>
      <c r="G345" s="1032">
        <v>395</v>
      </c>
      <c r="H345" s="924">
        <v>107</v>
      </c>
      <c r="I345" s="924">
        <v>112</v>
      </c>
      <c r="J345" s="924">
        <v>110</v>
      </c>
      <c r="K345" s="210">
        <f>L345-SUM(H345,I345,J345)</f>
        <v>109</v>
      </c>
      <c r="L345" s="1032">
        <v>438</v>
      </c>
      <c r="M345" s="924">
        <v>114</v>
      </c>
      <c r="N345" s="924">
        <v>115</v>
      </c>
      <c r="O345" s="924">
        <v>116</v>
      </c>
      <c r="P345" s="210">
        <f>Q345-SUM(M345,N345,O345)</f>
        <v>115</v>
      </c>
      <c r="Q345" s="1032">
        <v>460</v>
      </c>
      <c r="R345" s="924">
        <v>117</v>
      </c>
      <c r="S345" s="924">
        <v>119</v>
      </c>
      <c r="T345" s="924">
        <v>116</v>
      </c>
      <c r="U345" s="210">
        <f>V345-SUM(R345,S345,T345)</f>
        <v>106</v>
      </c>
      <c r="V345" s="1032">
        <v>458</v>
      </c>
      <c r="W345" s="924">
        <v>113</v>
      </c>
      <c r="X345" s="924">
        <v>116</v>
      </c>
      <c r="Y345" s="924">
        <v>113</v>
      </c>
      <c r="Z345" s="210">
        <f>AA345-SUM(W345,X345,Y345)</f>
        <v>105</v>
      </c>
      <c r="AA345" s="1032">
        <v>447</v>
      </c>
      <c r="AB345" s="924">
        <v>103</v>
      </c>
      <c r="AC345" s="924">
        <v>112</v>
      </c>
      <c r="AD345" s="924">
        <v>109</v>
      </c>
      <c r="AE345" s="210">
        <f>AF345-SUM(AB345,AC345,AD345)</f>
        <v>108</v>
      </c>
      <c r="AF345" s="1032">
        <v>432</v>
      </c>
      <c r="AG345" s="924">
        <v>109</v>
      </c>
      <c r="AH345" s="924">
        <v>116</v>
      </c>
      <c r="AI345" s="924">
        <v>121</v>
      </c>
      <c r="AJ345" s="210">
        <f>AK345-SUM(AG345,AH345,AI345)</f>
        <v>113</v>
      </c>
      <c r="AK345" s="1032">
        <v>459</v>
      </c>
      <c r="AL345" s="924">
        <v>108</v>
      </c>
      <c r="AM345" s="924">
        <v>114</v>
      </c>
      <c r="AN345" s="924">
        <v>101</v>
      </c>
      <c r="AO345" s="210">
        <f>AP345-SUM(AL345,AM345,AN345)</f>
        <v>106</v>
      </c>
      <c r="AP345" s="1032">
        <v>429</v>
      </c>
      <c r="AQ345" s="924">
        <v>101</v>
      </c>
      <c r="AR345" s="924">
        <v>104</v>
      </c>
      <c r="AS345" s="924">
        <v>97</v>
      </c>
      <c r="AT345" s="210">
        <f>AU345-SUM(AQ345,AR345,AS345)</f>
        <v>100</v>
      </c>
      <c r="AU345" s="1032">
        <v>402</v>
      </c>
      <c r="AV345" s="924">
        <v>103</v>
      </c>
      <c r="AW345" s="924">
        <v>100</v>
      </c>
      <c r="AX345" s="924">
        <v>104</v>
      </c>
      <c r="AY345" s="210">
        <f>AZ345-SUM(AV345,AW345,AX345)</f>
        <v>105</v>
      </c>
      <c r="AZ345" s="1032">
        <v>412</v>
      </c>
      <c r="BA345" s="924">
        <v>106</v>
      </c>
      <c r="BB345" s="924">
        <v>106</v>
      </c>
      <c r="BC345" s="924">
        <v>112</v>
      </c>
      <c r="BD345" s="210">
        <f>BE345-SUM(BA345,BB345,BC345)</f>
        <v>109</v>
      </c>
      <c r="BE345" s="1032">
        <v>433</v>
      </c>
      <c r="BF345" s="924">
        <v>109</v>
      </c>
      <c r="BG345" s="924">
        <v>115</v>
      </c>
      <c r="BH345" s="925">
        <v>121</v>
      </c>
      <c r="BI345" s="210"/>
      <c r="BJ345" s="994"/>
      <c r="BK345" s="210"/>
      <c r="BL345" s="210"/>
      <c r="BM345" s="210"/>
      <c r="BN345" s="210"/>
      <c r="BO345" s="994"/>
      <c r="BP345" s="994"/>
      <c r="BQ345" s="994"/>
      <c r="BR345" s="994"/>
      <c r="BS345" s="833"/>
    </row>
    <row r="346" spans="1:71" s="24" customFormat="1" ht="15" hidden="1" outlineLevel="1">
      <c r="A346" s="263" t="s">
        <v>107</v>
      </c>
      <c r="B346" s="462"/>
      <c r="C346" s="1032">
        <v>17</v>
      </c>
      <c r="D346" s="1032">
        <v>264</v>
      </c>
      <c r="E346" s="1032">
        <v>55</v>
      </c>
      <c r="F346" s="1032">
        <v>51</v>
      </c>
      <c r="G346" s="1032">
        <v>166</v>
      </c>
      <c r="H346" s="924">
        <v>1</v>
      </c>
      <c r="I346" s="924">
        <v>16</v>
      </c>
      <c r="J346" s="924">
        <v>40</v>
      </c>
      <c r="K346" s="210">
        <f>L346-SUM(H346,I346,J346)</f>
        <v>22</v>
      </c>
      <c r="L346" s="1032">
        <v>79</v>
      </c>
      <c r="M346" s="924">
        <v>10</v>
      </c>
      <c r="N346" s="924">
        <v>10</v>
      </c>
      <c r="O346" s="924">
        <v>15</v>
      </c>
      <c r="P346" s="210">
        <f>Q346-SUM(M346,N346,O346)</f>
        <v>-32</v>
      </c>
      <c r="Q346" s="1032">
        <v>3</v>
      </c>
      <c r="R346" s="924">
        <v>-9</v>
      </c>
      <c r="S346" s="924">
        <v>19</v>
      </c>
      <c r="T346" s="924">
        <v>23</v>
      </c>
      <c r="U346" s="210">
        <f>V346-SUM(R346,S346,T346)</f>
        <v>35</v>
      </c>
      <c r="V346" s="1032">
        <v>68</v>
      </c>
      <c r="W346" s="924">
        <v>5</v>
      </c>
      <c r="X346" s="924">
        <v>80</v>
      </c>
      <c r="Y346" s="924">
        <v>61</v>
      </c>
      <c r="Z346" s="210">
        <f>AA346-SUM(W346,X346,Y346)</f>
        <v>70</v>
      </c>
      <c r="AA346" s="1032">
        <v>216</v>
      </c>
      <c r="AB346" s="924">
        <v>-11</v>
      </c>
      <c r="AC346" s="924">
        <v>36</v>
      </c>
      <c r="AD346" s="924">
        <v>29</v>
      </c>
      <c r="AE346" s="210">
        <f>AF346-SUM(AB346,AC346,AD346)</f>
        <v>60</v>
      </c>
      <c r="AF346" s="1032">
        <v>114</v>
      </c>
      <c r="AG346" s="924">
        <v>53</v>
      </c>
      <c r="AH346" s="924">
        <v>25</v>
      </c>
      <c r="AI346" s="924">
        <v>23</v>
      </c>
      <c r="AJ346" s="210">
        <f>AK346-SUM(AG346,AH346,AI346)</f>
        <v>12</v>
      </c>
      <c r="AK346" s="1032">
        <v>113</v>
      </c>
      <c r="AL346" s="924">
        <v>-98</v>
      </c>
      <c r="AM346" s="924">
        <v>13</v>
      </c>
      <c r="AN346" s="924">
        <v>37</v>
      </c>
      <c r="AO346" s="210">
        <f>AP346-SUM(AL346,AM346,AN346)</f>
        <v>50</v>
      </c>
      <c r="AP346" s="1032">
        <v>2</v>
      </c>
      <c r="AQ346" s="924">
        <v>44</v>
      </c>
      <c r="AR346" s="924">
        <v>61</v>
      </c>
      <c r="AS346" s="924">
        <v>8</v>
      </c>
      <c r="AT346" s="210">
        <f>AU346-SUM(AQ346,AR346,AS346)</f>
        <v>58</v>
      </c>
      <c r="AU346" s="1032">
        <v>171</v>
      </c>
      <c r="AV346" s="924">
        <v>-23</v>
      </c>
      <c r="AW346" s="924">
        <v>-95</v>
      </c>
      <c r="AX346" s="924">
        <v>-93</v>
      </c>
      <c r="AY346" s="210">
        <f>AZ346-SUM(AV346,AW346,AX346)</f>
        <v>7</v>
      </c>
      <c r="AZ346" s="1032">
        <v>-204</v>
      </c>
      <c r="BA346" s="924">
        <v>6</v>
      </c>
      <c r="BB346" s="924">
        <v>-35</v>
      </c>
      <c r="BC346" s="924">
        <v>-65</v>
      </c>
      <c r="BD346" s="210">
        <f>BE346-SUM(BA346,BB346,BC346)</f>
        <v>-11</v>
      </c>
      <c r="BE346" s="1032">
        <v>-105</v>
      </c>
      <c r="BF346" s="924">
        <v>35</v>
      </c>
      <c r="BG346" s="924">
        <v>-65</v>
      </c>
      <c r="BH346" s="925">
        <v>55</v>
      </c>
      <c r="BI346" s="210"/>
      <c r="BJ346" s="994"/>
      <c r="BK346" s="210"/>
      <c r="BL346" s="210"/>
      <c r="BM346" s="210"/>
      <c r="BN346" s="210"/>
      <c r="BO346" s="994"/>
      <c r="BP346" s="994"/>
      <c r="BQ346" s="994"/>
      <c r="BR346" s="994"/>
      <c r="BS346" s="833"/>
    </row>
    <row r="347" spans="1:71" s="24" customFormat="1" ht="15" hidden="1" outlineLevel="1">
      <c r="A347" s="60" t="s">
        <v>108</v>
      </c>
      <c r="B347" s="478"/>
      <c r="C347" s="1033">
        <v>163</v>
      </c>
      <c r="D347" s="1033">
        <v>70</v>
      </c>
      <c r="E347" s="1033">
        <v>126</v>
      </c>
      <c r="F347" s="1033">
        <v>120</v>
      </c>
      <c r="G347" s="1033">
        <v>277</v>
      </c>
      <c r="H347" s="927">
        <v>41</v>
      </c>
      <c r="I347" s="927">
        <v>34</v>
      </c>
      <c r="J347" s="927">
        <v>34</v>
      </c>
      <c r="K347" s="205">
        <f>L347-SUM(H347,I347,J347)</f>
        <v>36</v>
      </c>
      <c r="L347" s="1033">
        <v>145</v>
      </c>
      <c r="M347" s="927">
        <v>25</v>
      </c>
      <c r="N347" s="927">
        <v>22</v>
      </c>
      <c r="O347" s="927">
        <v>21</v>
      </c>
      <c r="P347" s="205">
        <f>Q347-SUM(M347,N347,O347)</f>
        <v>31</v>
      </c>
      <c r="Q347" s="1033">
        <v>99</v>
      </c>
      <c r="R347" s="927">
        <v>53</v>
      </c>
      <c r="S347" s="927">
        <v>31</v>
      </c>
      <c r="T347" s="927">
        <v>31</v>
      </c>
      <c r="U347" s="205">
        <f>V347-SUM(R347,S347,T347)</f>
        <v>148</v>
      </c>
      <c r="V347" s="1033">
        <v>263</v>
      </c>
      <c r="W347" s="927">
        <v>31</v>
      </c>
      <c r="X347" s="927">
        <v>39</v>
      </c>
      <c r="Y347" s="927">
        <v>40</v>
      </c>
      <c r="Z347" s="205">
        <f>AA347-SUM(W347,X347,Y347)</f>
        <v>49</v>
      </c>
      <c r="AA347" s="1033">
        <v>159</v>
      </c>
      <c r="AB347" s="927">
        <v>54</v>
      </c>
      <c r="AC347" s="927">
        <v>39</v>
      </c>
      <c r="AD347" s="927">
        <v>57</v>
      </c>
      <c r="AE347" s="205">
        <f>AF347-SUM(AB347,AC347,AD347)</f>
        <v>53</v>
      </c>
      <c r="AF347" s="1033">
        <v>203</v>
      </c>
      <c r="AG347" s="927">
        <v>72</v>
      </c>
      <c r="AH347" s="927">
        <v>57</v>
      </c>
      <c r="AI347" s="927">
        <v>68</v>
      </c>
      <c r="AJ347" s="205">
        <f>AK347-SUM(AG347,AH347,AI347)</f>
        <v>72</v>
      </c>
      <c r="AK347" s="1033">
        <v>269</v>
      </c>
      <c r="AL347" s="927">
        <v>58</v>
      </c>
      <c r="AM347" s="927">
        <v>51</v>
      </c>
      <c r="AN347" s="927">
        <v>86</v>
      </c>
      <c r="AO347" s="205">
        <f>AP347-SUM(AL347,AM347,AN347)</f>
        <v>84</v>
      </c>
      <c r="AP347" s="1033">
        <v>279</v>
      </c>
      <c r="AQ347" s="927">
        <v>81</v>
      </c>
      <c r="AR347" s="927">
        <v>88</v>
      </c>
      <c r="AS347" s="927">
        <v>100</v>
      </c>
      <c r="AT347" s="205">
        <f>AU347-SUM(AQ347,AR347,AS347)</f>
        <v>86</v>
      </c>
      <c r="AU347" s="1033">
        <v>355</v>
      </c>
      <c r="AV347" s="927">
        <v>78</v>
      </c>
      <c r="AW347" s="927">
        <v>107</v>
      </c>
      <c r="AX347" s="927">
        <v>84</v>
      </c>
      <c r="AY347" s="205">
        <f>AZ347-SUM(AV347,AW347,AX347)</f>
        <v>82</v>
      </c>
      <c r="AZ347" s="1033">
        <v>351</v>
      </c>
      <c r="BA347" s="927">
        <v>75</v>
      </c>
      <c r="BB347" s="927">
        <v>99</v>
      </c>
      <c r="BC347" s="927">
        <v>101</v>
      </c>
      <c r="BD347" s="205">
        <f>BE347-SUM(BA347,BB347,BC347)</f>
        <v>78</v>
      </c>
      <c r="BE347" s="1033">
        <v>353</v>
      </c>
      <c r="BF347" s="927">
        <v>112</v>
      </c>
      <c r="BG347" s="927">
        <v>105</v>
      </c>
      <c r="BH347" s="928">
        <v>120</v>
      </c>
      <c r="BI347" s="205"/>
      <c r="BJ347" s="996"/>
      <c r="BK347" s="205"/>
      <c r="BL347" s="205"/>
      <c r="BM347" s="205"/>
      <c r="BN347" s="205"/>
      <c r="BO347" s="996"/>
      <c r="BP347" s="996"/>
      <c r="BQ347" s="996"/>
      <c r="BR347" s="996"/>
      <c r="BS347" s="833"/>
    </row>
    <row r="348" spans="1:71" s="24" customFormat="1" ht="15" hidden="1" outlineLevel="1">
      <c r="A348" s="62" t="s">
        <v>109</v>
      </c>
      <c r="B348" s="479"/>
      <c r="C348" s="997">
        <f t="shared" si="687" ref="C348:AM348">SUM(C343:C347)</f>
        <v>24680</v>
      </c>
      <c r="D348" s="997">
        <f t="shared" si="687"/>
        <v>25112</v>
      </c>
      <c r="E348" s="997">
        <f t="shared" si="687"/>
        <v>25446</v>
      </c>
      <c r="F348" s="997">
        <f t="shared" si="687"/>
        <v>25740</v>
      </c>
      <c r="G348" s="997">
        <f t="shared" si="687"/>
        <v>26191</v>
      </c>
      <c r="H348" s="193">
        <f t="shared" si="687"/>
        <v>6708</v>
      </c>
      <c r="I348" s="193">
        <f t="shared" si="687"/>
        <v>6785</v>
      </c>
      <c r="J348" s="193">
        <f t="shared" si="687"/>
        <v>6886</v>
      </c>
      <c r="K348" s="194">
        <f t="shared" si="687"/>
        <v>6783</v>
      </c>
      <c r="L348" s="997">
        <f t="shared" si="687"/>
        <v>27162</v>
      </c>
      <c r="M348" s="193">
        <f t="shared" si="687"/>
        <v>6629</v>
      </c>
      <c r="N348" s="193">
        <f t="shared" si="687"/>
        <v>6710</v>
      </c>
      <c r="O348" s="193">
        <f t="shared" si="687"/>
        <v>6798</v>
      </c>
      <c r="P348" s="194">
        <f t="shared" si="687"/>
        <v>6678</v>
      </c>
      <c r="Q348" s="997">
        <f t="shared" si="687"/>
        <v>26815</v>
      </c>
      <c r="R348" s="193">
        <f t="shared" si="687"/>
        <v>6686</v>
      </c>
      <c r="S348" s="193">
        <f t="shared" si="687"/>
        <v>6785</v>
      </c>
      <c r="T348" s="193">
        <f t="shared" si="687"/>
        <v>6961</v>
      </c>
      <c r="U348" s="194">
        <f t="shared" si="687"/>
        <v>7193</v>
      </c>
      <c r="V348" s="997">
        <f t="shared" si="687"/>
        <v>27625</v>
      </c>
      <c r="W348" s="193">
        <f t="shared" si="687"/>
        <v>6942</v>
      </c>
      <c r="X348" s="193">
        <f t="shared" si="687"/>
        <v>7184</v>
      </c>
      <c r="Y348" s="193">
        <f t="shared" si="687"/>
        <v>7325</v>
      </c>
      <c r="Z348" s="194">
        <f t="shared" si="687"/>
        <v>7451</v>
      </c>
      <c r="AA348" s="998">
        <f t="shared" si="687"/>
        <v>28902</v>
      </c>
      <c r="AB348" s="193">
        <f t="shared" si="687"/>
        <v>7286</v>
      </c>
      <c r="AC348" s="193">
        <f t="shared" si="687"/>
        <v>7477</v>
      </c>
      <c r="AD348" s="193">
        <f t="shared" si="687"/>
        <v>7723</v>
      </c>
      <c r="AE348" s="194">
        <f t="shared" si="687"/>
        <v>7796</v>
      </c>
      <c r="AF348" s="998">
        <f t="shared" si="687"/>
        <v>30282</v>
      </c>
      <c r="AG348" s="193">
        <f t="shared" si="687"/>
        <v>7671</v>
      </c>
      <c r="AH348" s="193">
        <f t="shared" si="687"/>
        <v>7834</v>
      </c>
      <c r="AI348" s="193">
        <f t="shared" si="687"/>
        <v>8013</v>
      </c>
      <c r="AJ348" s="194">
        <f t="shared" si="687"/>
        <v>8063</v>
      </c>
      <c r="AK348" s="998">
        <f t="shared" si="687"/>
        <v>31581</v>
      </c>
      <c r="AL348" s="193">
        <f t="shared" si="687"/>
        <v>7908</v>
      </c>
      <c r="AM348" s="193">
        <f t="shared" si="687"/>
        <v>7401</v>
      </c>
      <c r="AN348" s="193">
        <f>SUM(AN343:AN347)</f>
        <v>8275</v>
      </c>
      <c r="AO348" s="194">
        <f t="shared" si="688" ref="AO348:AP348">SUM(AO343:AO347)</f>
        <v>8397</v>
      </c>
      <c r="AP348" s="998">
        <f t="shared" si="688"/>
        <v>31981</v>
      </c>
      <c r="AQ348" s="193">
        <f t="shared" si="689" ref="AQ348">SUM(AQ343:AQ347)</f>
        <v>8313</v>
      </c>
      <c r="AR348" s="193">
        <f t="shared" si="690" ref="AR348:AW348">SUM(AR343:AR347)</f>
        <v>8687</v>
      </c>
      <c r="AS348" s="193">
        <f t="shared" si="690"/>
        <v>8805</v>
      </c>
      <c r="AT348" s="194">
        <f t="shared" si="690"/>
        <v>9011</v>
      </c>
      <c r="AU348" s="998">
        <f t="shared" si="690"/>
        <v>34816</v>
      </c>
      <c r="AV348" s="193">
        <f t="shared" si="690"/>
        <v>8809</v>
      </c>
      <c r="AW348" s="193">
        <f t="shared" si="690"/>
        <v>9136</v>
      </c>
      <c r="AX348" s="193">
        <f t="shared" si="691" ref="AX348:BC348">SUM(AX343:AX347)</f>
        <v>9303</v>
      </c>
      <c r="AY348" s="194">
        <f t="shared" si="691"/>
        <v>9636</v>
      </c>
      <c r="AZ348" s="998">
        <f t="shared" si="691"/>
        <v>36884</v>
      </c>
      <c r="BA348" s="193">
        <f t="shared" si="691"/>
        <v>9704</v>
      </c>
      <c r="BB348" s="193">
        <f t="shared" si="691"/>
        <v>10098</v>
      </c>
      <c r="BC348" s="193">
        <f t="shared" si="691"/>
        <v>10635</v>
      </c>
      <c r="BD348" s="194">
        <f>SUM(BD343:BD347)</f>
        <v>10927</v>
      </c>
      <c r="BE348" s="998">
        <f>SUM(BE343:BE347)</f>
        <v>41364</v>
      </c>
      <c r="BF348" s="193">
        <f>SUM(BF343:BF347)</f>
        <v>11228</v>
      </c>
      <c r="BG348" s="193">
        <f>SUM(BG343:BG347)</f>
        <v>11283</v>
      </c>
      <c r="BH348" s="747">
        <f>SUM(BH343:BH347)</f>
        <v>11904</v>
      </c>
      <c r="BI348" s="194"/>
      <c r="BJ348" s="998"/>
      <c r="BK348" s="194"/>
      <c r="BL348" s="194"/>
      <c r="BM348" s="194"/>
      <c r="BN348" s="194"/>
      <c r="BO348" s="998"/>
      <c r="BP348" s="998"/>
      <c r="BQ348" s="998"/>
      <c r="BR348" s="998"/>
      <c r="BS348" s="833"/>
    </row>
    <row r="349" spans="1:71" s="181" customFormat="1" ht="15" hidden="1" outlineLevel="1">
      <c r="A349" s="263" t="s">
        <v>110</v>
      </c>
      <c r="B349" s="462"/>
      <c r="C349" s="1032">
        <v>12408</v>
      </c>
      <c r="D349" s="1032">
        <v>13210</v>
      </c>
      <c r="E349" s="1032">
        <v>16276</v>
      </c>
      <c r="F349" s="1032">
        <v>14676</v>
      </c>
      <c r="G349" s="1032">
        <v>13307</v>
      </c>
      <c r="H349" s="924">
        <v>3315</v>
      </c>
      <c r="I349" s="924">
        <v>3826</v>
      </c>
      <c r="J349" s="924">
        <v>3520</v>
      </c>
      <c r="K349" s="265">
        <f>L349-SUM(H349,I349,J349)</f>
        <v>3209</v>
      </c>
      <c r="L349" s="1032">
        <v>13870</v>
      </c>
      <c r="M349" s="924">
        <v>3431</v>
      </c>
      <c r="N349" s="924">
        <v>3547</v>
      </c>
      <c r="O349" s="924">
        <v>3382</v>
      </c>
      <c r="P349" s="265">
        <f>Q349-SUM(M349,N349,O349)</f>
        <v>3363</v>
      </c>
      <c r="Q349" s="1032">
        <v>13723</v>
      </c>
      <c r="R349" s="924">
        <v>3712</v>
      </c>
      <c r="S349" s="924">
        <v>3762</v>
      </c>
      <c r="T349" s="924">
        <v>3856</v>
      </c>
      <c r="U349" s="265">
        <f>V349-SUM(R349,S349,T349)</f>
        <v>3740</v>
      </c>
      <c r="V349" s="1032">
        <v>15070</v>
      </c>
      <c r="W349" s="924">
        <v>4094</v>
      </c>
      <c r="X349" s="924">
        <v>4225</v>
      </c>
      <c r="Y349" s="924">
        <v>4806</v>
      </c>
      <c r="Z349" s="210">
        <f>AA349-SUM(W349,X349,Y349)</f>
        <v>4342</v>
      </c>
      <c r="AA349" s="1032">
        <v>17467</v>
      </c>
      <c r="AB349" s="924">
        <v>4296</v>
      </c>
      <c r="AC349" s="924">
        <v>4562</v>
      </c>
      <c r="AD349" s="924">
        <v>4655</v>
      </c>
      <c r="AE349" s="210">
        <f>AF349-SUM(AB349,AC349,AD349)</f>
        <v>4778</v>
      </c>
      <c r="AF349" s="1032">
        <v>18291</v>
      </c>
      <c r="AG349" s="924">
        <v>4442</v>
      </c>
      <c r="AH349" s="924">
        <v>4821</v>
      </c>
      <c r="AI349" s="924">
        <v>5230</v>
      </c>
      <c r="AJ349" s="210">
        <f>AK349-SUM(AG349,AH349,AI349)</f>
        <v>4640</v>
      </c>
      <c r="AK349" s="1032">
        <v>19133</v>
      </c>
      <c r="AL349" s="924">
        <v>4789</v>
      </c>
      <c r="AM349" s="924">
        <v>5107</v>
      </c>
      <c r="AN349" s="924">
        <v>4886</v>
      </c>
      <c r="AO349" s="210">
        <f>AP349-SUM(AL349,AM349,AN349)</f>
        <v>4341</v>
      </c>
      <c r="AP349" s="1032">
        <v>19123</v>
      </c>
      <c r="AQ349" s="924">
        <v>4970</v>
      </c>
      <c r="AR349" s="924">
        <v>5045</v>
      </c>
      <c r="AS349" s="924">
        <v>5464</v>
      </c>
      <c r="AT349" s="210">
        <f>AU349-SUM(AQ349,AR349,AS349)</f>
        <v>4819</v>
      </c>
      <c r="AU349" s="1032">
        <v>20298</v>
      </c>
      <c r="AV349" s="924">
        <v>5039</v>
      </c>
      <c r="AW349" s="924">
        <v>5803</v>
      </c>
      <c r="AX349" s="924">
        <v>6088</v>
      </c>
      <c r="AY349" s="210">
        <f>AZ349-SUM(AV349,AW349,AX349)</f>
        <v>5924</v>
      </c>
      <c r="AZ349" s="1032">
        <v>22854</v>
      </c>
      <c r="BA349" s="924">
        <v>5959</v>
      </c>
      <c r="BB349" s="924">
        <v>7227</v>
      </c>
      <c r="BC349" s="924">
        <v>7149</v>
      </c>
      <c r="BD349" s="210">
        <f>BE349-SUM(BA349,BB349,BC349)</f>
        <v>5880</v>
      </c>
      <c r="BE349" s="1032">
        <v>26215</v>
      </c>
      <c r="BF349" s="924">
        <v>6656</v>
      </c>
      <c r="BG349" s="924">
        <v>7373</v>
      </c>
      <c r="BH349" s="925">
        <v>6996</v>
      </c>
      <c r="BI349" s="210"/>
      <c r="BJ349" s="994"/>
      <c r="BK349" s="210"/>
      <c r="BL349" s="210"/>
      <c r="BM349" s="210"/>
      <c r="BN349" s="210"/>
      <c r="BO349" s="994"/>
      <c r="BP349" s="994"/>
      <c r="BQ349" s="994"/>
      <c r="BR349" s="994"/>
      <c r="BS349" s="423"/>
    </row>
    <row r="350" spans="1:71" s="24" customFormat="1" ht="15" hidden="1" outlineLevel="1">
      <c r="A350" s="263" t="s">
        <v>111</v>
      </c>
      <c r="B350" s="462"/>
      <c r="C350" s="1032">
        <v>3813</v>
      </c>
      <c r="D350" s="1032">
        <v>3802</v>
      </c>
      <c r="E350" s="1032">
        <v>3876</v>
      </c>
      <c r="F350" s="1032">
        <v>3910</v>
      </c>
      <c r="G350" s="1032">
        <v>3821</v>
      </c>
      <c r="H350" s="924">
        <v>950</v>
      </c>
      <c r="I350" s="924">
        <v>965</v>
      </c>
      <c r="J350" s="924">
        <v>984</v>
      </c>
      <c r="K350" s="210">
        <f>L350-SUM(H350,I350,J350)</f>
        <v>983</v>
      </c>
      <c r="L350" s="1032">
        <v>3882</v>
      </c>
      <c r="M350" s="924">
        <v>963</v>
      </c>
      <c r="N350" s="924">
        <v>963</v>
      </c>
      <c r="O350" s="924">
        <v>987</v>
      </c>
      <c r="P350" s="210">
        <f>Q350-SUM(M350,N350,O350)</f>
        <v>972</v>
      </c>
      <c r="Q350" s="1032">
        <v>3885</v>
      </c>
      <c r="R350" s="924">
        <v>971</v>
      </c>
      <c r="S350" s="924">
        <v>989</v>
      </c>
      <c r="T350" s="924">
        <v>1012</v>
      </c>
      <c r="U350" s="210">
        <f>V350-SUM(R350,S350,T350)</f>
        <v>1013</v>
      </c>
      <c r="V350" s="1032">
        <v>3985</v>
      </c>
      <c r="W350" s="924">
        <v>1003</v>
      </c>
      <c r="X350" s="924">
        <v>1032</v>
      </c>
      <c r="Y350" s="924">
        <v>1059</v>
      </c>
      <c r="Z350" s="210">
        <f>AA350-SUM(W350,X350,Y350)</f>
        <v>1072</v>
      </c>
      <c r="AA350" s="1032">
        <v>4166</v>
      </c>
      <c r="AB350" s="924">
        <v>1061</v>
      </c>
      <c r="AC350" s="924">
        <v>1081</v>
      </c>
      <c r="AD350" s="924">
        <v>1117</v>
      </c>
      <c r="AE350" s="210">
        <f>AF350-SUM(AB350,AC350,AD350)</f>
        <v>1122</v>
      </c>
      <c r="AF350" s="1032">
        <v>4381</v>
      </c>
      <c r="AG350" s="924">
        <v>1117</v>
      </c>
      <c r="AH350" s="924">
        <v>1134</v>
      </c>
      <c r="AI350" s="924">
        <v>1169</v>
      </c>
      <c r="AJ350" s="210">
        <f>AK350-SUM(AG350,AH350,AI350)</f>
        <v>1181</v>
      </c>
      <c r="AK350" s="1032">
        <v>4601</v>
      </c>
      <c r="AL350" s="924">
        <v>1178</v>
      </c>
      <c r="AM350" s="924">
        <v>1173</v>
      </c>
      <c r="AN350" s="924">
        <v>1207</v>
      </c>
      <c r="AO350" s="210">
        <f>AP350-SUM(AL350,AM350,AN350)</f>
        <v>1215</v>
      </c>
      <c r="AP350" s="1032">
        <v>4773</v>
      </c>
      <c r="AQ350" s="924">
        <v>1207</v>
      </c>
      <c r="AR350" s="924">
        <v>1254</v>
      </c>
      <c r="AS350" s="924">
        <v>1281</v>
      </c>
      <c r="AT350" s="210">
        <f>AU350-SUM(AQ350,AR350,AS350)</f>
        <v>1301</v>
      </c>
      <c r="AU350" s="1032">
        <v>5043</v>
      </c>
      <c r="AV350" s="924">
        <v>1310</v>
      </c>
      <c r="AW350" s="924">
        <v>1365</v>
      </c>
      <c r="AX350" s="924">
        <v>1406</v>
      </c>
      <c r="AY350" s="210">
        <f>AZ350-SUM(AV350,AW350,AX350)</f>
        <v>1434</v>
      </c>
      <c r="AZ350" s="1032">
        <v>5515</v>
      </c>
      <c r="BA350" s="924">
        <v>1462</v>
      </c>
      <c r="BB350" s="924">
        <v>1519</v>
      </c>
      <c r="BC350" s="924">
        <v>1604</v>
      </c>
      <c r="BD350" s="210">
        <f>BE350-SUM(BA350,BB350,BC350)</f>
        <v>1641</v>
      </c>
      <c r="BE350" s="1032">
        <v>6226</v>
      </c>
      <c r="BF350" s="924">
        <v>1698</v>
      </c>
      <c r="BG350" s="924">
        <v>1678</v>
      </c>
      <c r="BH350" s="925">
        <v>1790</v>
      </c>
      <c r="BI350" s="210"/>
      <c r="BJ350" s="994"/>
      <c r="BK350" s="210"/>
      <c r="BL350" s="210"/>
      <c r="BM350" s="210"/>
      <c r="BN350" s="210"/>
      <c r="BO350" s="994"/>
      <c r="BP350" s="994"/>
      <c r="BQ350" s="994"/>
      <c r="BR350" s="994"/>
      <c r="BS350" s="833"/>
    </row>
    <row r="351" spans="1:71" s="24" customFormat="1" ht="15" hidden="1" outlineLevel="1">
      <c r="A351" s="263" t="s">
        <v>112</v>
      </c>
      <c r="B351" s="462"/>
      <c r="C351" s="1032">
        <v>3366</v>
      </c>
      <c r="D351" s="1032">
        <v>3406</v>
      </c>
      <c r="E351" s="1032">
        <v>3556</v>
      </c>
      <c r="F351" s="1032">
        <v>3610</v>
      </c>
      <c r="G351" s="1032">
        <v>3757</v>
      </c>
      <c r="H351" s="924">
        <v>881</v>
      </c>
      <c r="I351" s="924">
        <v>1001</v>
      </c>
      <c r="J351" s="924">
        <v>1031</v>
      </c>
      <c r="K351" s="210">
        <f>L351-SUM(H351,I351,J351)</f>
        <v>1039</v>
      </c>
      <c r="L351" s="1032">
        <v>3952</v>
      </c>
      <c r="M351" s="924">
        <v>995</v>
      </c>
      <c r="N351" s="924">
        <v>1032</v>
      </c>
      <c r="O351" s="924">
        <v>1028</v>
      </c>
      <c r="P351" s="210">
        <f>Q351-SUM(M351,N351,O351)</f>
        <v>1039</v>
      </c>
      <c r="Q351" s="1032">
        <v>4094</v>
      </c>
      <c r="R351" s="924">
        <v>995</v>
      </c>
      <c r="S351" s="924">
        <v>1054</v>
      </c>
      <c r="T351" s="924">
        <v>1057</v>
      </c>
      <c r="U351" s="210">
        <f>V351-SUM(R351,S351,T351)</f>
        <v>1048</v>
      </c>
      <c r="V351" s="1032">
        <v>4154</v>
      </c>
      <c r="W351" s="924">
        <v>996</v>
      </c>
      <c r="X351" s="924">
        <v>1045</v>
      </c>
      <c r="Y351" s="924">
        <v>1045</v>
      </c>
      <c r="Z351" s="210">
        <f>AA351-SUM(W351,X351,Y351)</f>
        <v>1084</v>
      </c>
      <c r="AA351" s="1032">
        <v>4170</v>
      </c>
      <c r="AB351" s="924">
        <v>1062</v>
      </c>
      <c r="AC351" s="924">
        <v>1113</v>
      </c>
      <c r="AD351" s="924">
        <v>1059</v>
      </c>
      <c r="AE351" s="210">
        <f>AF351-SUM(AB351,AC351,AD351)</f>
        <v>1063</v>
      </c>
      <c r="AF351" s="1032">
        <v>4297</v>
      </c>
      <c r="AG351" s="924">
        <v>1057</v>
      </c>
      <c r="AH351" s="924">
        <v>1125</v>
      </c>
      <c r="AI351" s="924">
        <v>1098</v>
      </c>
      <c r="AJ351" s="210">
        <f>AK351-SUM(AG351,AH351,AI351)</f>
        <v>1085</v>
      </c>
      <c r="AK351" s="1032">
        <v>4365</v>
      </c>
      <c r="AL351" s="924">
        <v>1137</v>
      </c>
      <c r="AM351" s="924">
        <v>1121</v>
      </c>
      <c r="AN351" s="924">
        <v>1109</v>
      </c>
      <c r="AO351" s="210">
        <f>AP351-SUM(AL351,AM351,AN351)</f>
        <v>1142</v>
      </c>
      <c r="AP351" s="1032">
        <v>4509</v>
      </c>
      <c r="AQ351" s="924">
        <v>1163</v>
      </c>
      <c r="AR351" s="924">
        <v>1174</v>
      </c>
      <c r="AS351" s="924">
        <v>1187</v>
      </c>
      <c r="AT351" s="210">
        <f>AU351-SUM(AQ351,AR351,AS351)</f>
        <v>1153</v>
      </c>
      <c r="AU351" s="1032">
        <v>4677</v>
      </c>
      <c r="AV351" s="924">
        <v>1191</v>
      </c>
      <c r="AW351" s="924">
        <v>1223</v>
      </c>
      <c r="AX351" s="924">
        <v>1193</v>
      </c>
      <c r="AY351" s="210">
        <f>AZ351-SUM(AV351,AW351,AX351)</f>
        <v>1203</v>
      </c>
      <c r="AZ351" s="1032">
        <v>4810</v>
      </c>
      <c r="BA351" s="924">
        <v>1267</v>
      </c>
      <c r="BB351" s="924">
        <v>1308</v>
      </c>
      <c r="BC351" s="924">
        <v>1312</v>
      </c>
      <c r="BD351" s="210">
        <f>BE351-SUM(BA351,BB351,BC351)</f>
        <v>1289</v>
      </c>
      <c r="BE351" s="1032">
        <v>5176</v>
      </c>
      <c r="BF351" s="924">
        <v>1406</v>
      </c>
      <c r="BG351" s="924">
        <v>1478</v>
      </c>
      <c r="BH351" s="925">
        <v>1460</v>
      </c>
      <c r="BI351" s="210"/>
      <c r="BJ351" s="994"/>
      <c r="BK351" s="210"/>
      <c r="BL351" s="210"/>
      <c r="BM351" s="210"/>
      <c r="BN351" s="210"/>
      <c r="BO351" s="994"/>
      <c r="BP351" s="994"/>
      <c r="BQ351" s="994"/>
      <c r="BR351" s="994"/>
      <c r="BS351" s="833"/>
    </row>
    <row r="352" spans="1:71" s="24" customFormat="1" ht="15" hidden="1" outlineLevel="1">
      <c r="A352" s="60" t="s">
        <v>113</v>
      </c>
      <c r="B352" s="478"/>
      <c r="C352" s="1033">
        <v>382</v>
      </c>
      <c r="D352" s="1033">
        <v>388</v>
      </c>
      <c r="E352" s="1033">
        <v>386</v>
      </c>
      <c r="F352" s="1033">
        <v>378</v>
      </c>
      <c r="G352" s="1033">
        <v>361</v>
      </c>
      <c r="H352" s="927">
        <v>92</v>
      </c>
      <c r="I352" s="927">
        <v>92</v>
      </c>
      <c r="J352" s="927">
        <v>93</v>
      </c>
      <c r="K352" s="205">
        <f>L352-SUM(H352,I352,J352)</f>
        <v>92</v>
      </c>
      <c r="L352" s="1033">
        <v>369</v>
      </c>
      <c r="M352" s="927">
        <v>92</v>
      </c>
      <c r="N352" s="927">
        <v>92</v>
      </c>
      <c r="O352" s="927">
        <v>94</v>
      </c>
      <c r="P352" s="205">
        <f>Q352-SUM(M352,N352,O352)</f>
        <v>95</v>
      </c>
      <c r="Q352" s="1033">
        <v>373</v>
      </c>
      <c r="R352" s="927">
        <v>91</v>
      </c>
      <c r="S352" s="927">
        <v>93</v>
      </c>
      <c r="T352" s="927">
        <v>89</v>
      </c>
      <c r="U352" s="205">
        <f>V352-SUM(R352,S352,T352)</f>
        <v>90</v>
      </c>
      <c r="V352" s="1033">
        <v>363</v>
      </c>
      <c r="W352" s="927">
        <v>89</v>
      </c>
      <c r="X352" s="927">
        <v>92</v>
      </c>
      <c r="Y352" s="927">
        <v>95</v>
      </c>
      <c r="Z352" s="205">
        <f>AA352-SUM(W352,X352,Y352)</f>
        <v>93</v>
      </c>
      <c r="AA352" s="1033">
        <v>369</v>
      </c>
      <c r="AB352" s="927">
        <v>89</v>
      </c>
      <c r="AC352" s="927">
        <v>90</v>
      </c>
      <c r="AD352" s="927">
        <v>86</v>
      </c>
      <c r="AE352" s="205">
        <f>AF352-SUM(AB352,AC352,AD352)</f>
        <v>87</v>
      </c>
      <c r="AF352" s="1033">
        <v>352</v>
      </c>
      <c r="AG352" s="927">
        <v>88</v>
      </c>
      <c r="AH352" s="927">
        <v>89</v>
      </c>
      <c r="AI352" s="927">
        <v>84</v>
      </c>
      <c r="AJ352" s="205">
        <f>AK352-SUM(AG352,AH352,AI352)</f>
        <v>83</v>
      </c>
      <c r="AK352" s="1033">
        <v>344</v>
      </c>
      <c r="AL352" s="927">
        <v>84</v>
      </c>
      <c r="AM352" s="927">
        <v>85</v>
      </c>
      <c r="AN352" s="927">
        <v>87</v>
      </c>
      <c r="AO352" s="205">
        <f>AP352-SUM(AL352,AM352,AN352)</f>
        <v>83</v>
      </c>
      <c r="AP352" s="1033">
        <v>339</v>
      </c>
      <c r="AQ352" s="927">
        <v>82</v>
      </c>
      <c r="AR352" s="927">
        <v>83</v>
      </c>
      <c r="AS352" s="927">
        <v>87</v>
      </c>
      <c r="AT352" s="205">
        <f>AU352-SUM(AQ352,AR352,AS352)</f>
        <v>88</v>
      </c>
      <c r="AU352" s="1033">
        <v>340</v>
      </c>
      <c r="AV352" s="927">
        <v>87</v>
      </c>
      <c r="AW352" s="927">
        <v>88</v>
      </c>
      <c r="AX352" s="927">
        <v>88</v>
      </c>
      <c r="AY352" s="205">
        <f>AZ352-SUM(AV352,AW352,AX352)</f>
        <v>88</v>
      </c>
      <c r="AZ352" s="1033">
        <v>351</v>
      </c>
      <c r="BA352" s="927">
        <v>88</v>
      </c>
      <c r="BB352" s="927">
        <v>92</v>
      </c>
      <c r="BC352" s="927">
        <v>98</v>
      </c>
      <c r="BD352" s="205">
        <f>BE352-SUM(BA352,BB352,BC352)</f>
        <v>98</v>
      </c>
      <c r="BE352" s="1033">
        <v>376</v>
      </c>
      <c r="BF352" s="927">
        <v>98</v>
      </c>
      <c r="BG352" s="927">
        <v>98</v>
      </c>
      <c r="BH352" s="928">
        <v>98</v>
      </c>
      <c r="BI352" s="205"/>
      <c r="BJ352" s="996"/>
      <c r="BK352" s="205"/>
      <c r="BL352" s="205"/>
      <c r="BM352" s="205"/>
      <c r="BN352" s="205"/>
      <c r="BO352" s="996"/>
      <c r="BP352" s="996"/>
      <c r="BQ352" s="996"/>
      <c r="BR352" s="996"/>
      <c r="BS352" s="833"/>
    </row>
    <row r="353" spans="1:71" s="181" customFormat="1" ht="15" hidden="1" outlineLevel="1">
      <c r="A353" s="62" t="s">
        <v>114</v>
      </c>
      <c r="B353" s="479"/>
      <c r="C353" s="997">
        <f t="shared" si="692" ref="C353:AM353">SUM(C349:C352)</f>
        <v>19969</v>
      </c>
      <c r="D353" s="997">
        <f t="shared" si="692"/>
        <v>20806</v>
      </c>
      <c r="E353" s="997">
        <f t="shared" si="692"/>
        <v>24094</v>
      </c>
      <c r="F353" s="997">
        <f t="shared" si="692"/>
        <v>22574</v>
      </c>
      <c r="G353" s="997">
        <f t="shared" si="692"/>
        <v>21246</v>
      </c>
      <c r="H353" s="193">
        <f t="shared" si="692"/>
        <v>5238</v>
      </c>
      <c r="I353" s="193">
        <f t="shared" si="692"/>
        <v>5884</v>
      </c>
      <c r="J353" s="193">
        <f t="shared" si="692"/>
        <v>5628</v>
      </c>
      <c r="K353" s="193">
        <f t="shared" si="692"/>
        <v>5323</v>
      </c>
      <c r="L353" s="997">
        <f t="shared" si="692"/>
        <v>22073</v>
      </c>
      <c r="M353" s="193">
        <f t="shared" si="692"/>
        <v>5481</v>
      </c>
      <c r="N353" s="193">
        <f t="shared" si="692"/>
        <v>5634</v>
      </c>
      <c r="O353" s="193">
        <f t="shared" si="692"/>
        <v>5491</v>
      </c>
      <c r="P353" s="193">
        <f t="shared" si="692"/>
        <v>5469</v>
      </c>
      <c r="Q353" s="997">
        <f t="shared" si="692"/>
        <v>22075</v>
      </c>
      <c r="R353" s="193">
        <f t="shared" si="692"/>
        <v>5769</v>
      </c>
      <c r="S353" s="193">
        <f t="shared" si="692"/>
        <v>5898</v>
      </c>
      <c r="T353" s="193">
        <f t="shared" si="692"/>
        <v>6014</v>
      </c>
      <c r="U353" s="193">
        <f t="shared" si="692"/>
        <v>5891</v>
      </c>
      <c r="V353" s="997">
        <f t="shared" si="692"/>
        <v>23572</v>
      </c>
      <c r="W353" s="193">
        <f t="shared" si="692"/>
        <v>6182</v>
      </c>
      <c r="X353" s="193">
        <f t="shared" si="692"/>
        <v>6394</v>
      </c>
      <c r="Y353" s="193">
        <f t="shared" si="692"/>
        <v>7005</v>
      </c>
      <c r="Z353" s="194">
        <f t="shared" si="692"/>
        <v>6591</v>
      </c>
      <c r="AA353" s="998">
        <f t="shared" si="692"/>
        <v>26172</v>
      </c>
      <c r="AB353" s="193">
        <f t="shared" si="692"/>
        <v>6508</v>
      </c>
      <c r="AC353" s="193">
        <f t="shared" si="692"/>
        <v>6846</v>
      </c>
      <c r="AD353" s="193">
        <f t="shared" si="692"/>
        <v>6917</v>
      </c>
      <c r="AE353" s="194">
        <f t="shared" si="692"/>
        <v>7050</v>
      </c>
      <c r="AF353" s="998">
        <f t="shared" si="692"/>
        <v>27321</v>
      </c>
      <c r="AG353" s="193">
        <f t="shared" si="692"/>
        <v>6704</v>
      </c>
      <c r="AH353" s="193">
        <f t="shared" si="692"/>
        <v>7169</v>
      </c>
      <c r="AI353" s="193">
        <f t="shared" si="692"/>
        <v>7581</v>
      </c>
      <c r="AJ353" s="194">
        <f t="shared" si="692"/>
        <v>6989</v>
      </c>
      <c r="AK353" s="998">
        <f t="shared" si="692"/>
        <v>28443</v>
      </c>
      <c r="AL353" s="193">
        <f t="shared" si="692"/>
        <v>7188</v>
      </c>
      <c r="AM353" s="193">
        <f t="shared" si="692"/>
        <v>7486</v>
      </c>
      <c r="AN353" s="193">
        <f>SUM(AN349:AN352)</f>
        <v>7289</v>
      </c>
      <c r="AO353" s="194">
        <f t="shared" si="693" ref="AO353:AP353">SUM(AO349:AO352)</f>
        <v>6781</v>
      </c>
      <c r="AP353" s="998">
        <f t="shared" si="693"/>
        <v>28744</v>
      </c>
      <c r="AQ353" s="193">
        <f t="shared" si="694" ref="AQ353">SUM(AQ349:AQ352)</f>
        <v>7422</v>
      </c>
      <c r="AR353" s="193">
        <f t="shared" si="695" ref="AR353:AW353">SUM(AR349:AR352)</f>
        <v>7556</v>
      </c>
      <c r="AS353" s="193">
        <f t="shared" si="695"/>
        <v>8019</v>
      </c>
      <c r="AT353" s="194">
        <f t="shared" si="695"/>
        <v>7361</v>
      </c>
      <c r="AU353" s="998">
        <f t="shared" si="695"/>
        <v>30358</v>
      </c>
      <c r="AV353" s="193">
        <f t="shared" si="695"/>
        <v>7627</v>
      </c>
      <c r="AW353" s="193">
        <f t="shared" si="695"/>
        <v>8479</v>
      </c>
      <c r="AX353" s="193">
        <f t="shared" si="696" ref="AX353:BC353">SUM(AX349:AX352)</f>
        <v>8775</v>
      </c>
      <c r="AY353" s="194">
        <f t="shared" si="696"/>
        <v>8649</v>
      </c>
      <c r="AZ353" s="998">
        <f t="shared" si="696"/>
        <v>33530</v>
      </c>
      <c r="BA353" s="193">
        <f t="shared" si="696"/>
        <v>8776</v>
      </c>
      <c r="BB353" s="193">
        <f t="shared" si="696"/>
        <v>10146</v>
      </c>
      <c r="BC353" s="193">
        <f t="shared" si="696"/>
        <v>10163</v>
      </c>
      <c r="BD353" s="194">
        <f>SUM(BD349:BD352)</f>
        <v>8908</v>
      </c>
      <c r="BE353" s="998">
        <f>SUM(BE349:BE352)</f>
        <v>37993</v>
      </c>
      <c r="BF353" s="193">
        <f>SUM(BF349:BF352)</f>
        <v>9858</v>
      </c>
      <c r="BG353" s="193">
        <f>SUM(BG349:BG352)</f>
        <v>10627</v>
      </c>
      <c r="BH353" s="747">
        <f>SUM(BH349:BH352)</f>
        <v>10344</v>
      </c>
      <c r="BI353" s="194"/>
      <c r="BJ353" s="998"/>
      <c r="BK353" s="194"/>
      <c r="BL353" s="194"/>
      <c r="BM353" s="194"/>
      <c r="BN353" s="194"/>
      <c r="BO353" s="998"/>
      <c r="BP353" s="998"/>
      <c r="BQ353" s="998"/>
      <c r="BR353" s="998"/>
      <c r="BS353" s="423"/>
    </row>
    <row r="354" spans="1:71" s="24" customFormat="1" ht="15" hidden="1" outlineLevel="1">
      <c r="A354" s="183" t="s">
        <v>115</v>
      </c>
      <c r="B354" s="480"/>
      <c r="C354" s="1008">
        <f t="shared" si="697" ref="C354:AM354">C348-C353</f>
        <v>4711</v>
      </c>
      <c r="D354" s="1008">
        <f t="shared" si="697"/>
        <v>4306</v>
      </c>
      <c r="E354" s="1008">
        <f t="shared" si="697"/>
        <v>1352</v>
      </c>
      <c r="F354" s="1008">
        <f t="shared" si="697"/>
        <v>3166</v>
      </c>
      <c r="G354" s="1008">
        <f t="shared" si="697"/>
        <v>4945</v>
      </c>
      <c r="H354" s="185">
        <f t="shared" si="697"/>
        <v>1470</v>
      </c>
      <c r="I354" s="185">
        <f t="shared" si="697"/>
        <v>901</v>
      </c>
      <c r="J354" s="185">
        <f t="shared" si="697"/>
        <v>1258</v>
      </c>
      <c r="K354" s="199">
        <f t="shared" si="697"/>
        <v>1460</v>
      </c>
      <c r="L354" s="1008">
        <f t="shared" si="697"/>
        <v>5089</v>
      </c>
      <c r="M354" s="185">
        <f t="shared" si="697"/>
        <v>1148</v>
      </c>
      <c r="N354" s="185">
        <f t="shared" si="697"/>
        <v>1076</v>
      </c>
      <c r="O354" s="185">
        <f t="shared" si="697"/>
        <v>1307</v>
      </c>
      <c r="P354" s="199">
        <f t="shared" si="697"/>
        <v>1209</v>
      </c>
      <c r="Q354" s="1008">
        <f t="shared" si="697"/>
        <v>4740</v>
      </c>
      <c r="R354" s="185">
        <f t="shared" si="697"/>
        <v>917</v>
      </c>
      <c r="S354" s="185">
        <f t="shared" si="697"/>
        <v>887</v>
      </c>
      <c r="T354" s="185">
        <f t="shared" si="697"/>
        <v>947</v>
      </c>
      <c r="U354" s="199">
        <f t="shared" si="697"/>
        <v>1302</v>
      </c>
      <c r="V354" s="1008">
        <f t="shared" si="697"/>
        <v>4053</v>
      </c>
      <c r="W354" s="185">
        <f t="shared" si="697"/>
        <v>760</v>
      </c>
      <c r="X354" s="185">
        <f t="shared" si="697"/>
        <v>790</v>
      </c>
      <c r="Y354" s="185">
        <f t="shared" si="697"/>
        <v>320</v>
      </c>
      <c r="Z354" s="199">
        <f t="shared" si="697"/>
        <v>860</v>
      </c>
      <c r="AA354" s="1009">
        <f t="shared" si="697"/>
        <v>2730</v>
      </c>
      <c r="AB354" s="185">
        <f t="shared" si="697"/>
        <v>778</v>
      </c>
      <c r="AC354" s="185">
        <f t="shared" si="697"/>
        <v>631</v>
      </c>
      <c r="AD354" s="185">
        <f t="shared" si="697"/>
        <v>806</v>
      </c>
      <c r="AE354" s="199">
        <f t="shared" si="697"/>
        <v>746</v>
      </c>
      <c r="AF354" s="1009">
        <f t="shared" si="697"/>
        <v>2961</v>
      </c>
      <c r="AG354" s="185">
        <f t="shared" si="697"/>
        <v>967</v>
      </c>
      <c r="AH354" s="185">
        <f t="shared" si="697"/>
        <v>665</v>
      </c>
      <c r="AI354" s="185">
        <f t="shared" si="697"/>
        <v>432</v>
      </c>
      <c r="AJ354" s="199">
        <f t="shared" si="697"/>
        <v>1074</v>
      </c>
      <c r="AK354" s="1009">
        <f t="shared" si="697"/>
        <v>3138</v>
      </c>
      <c r="AL354" s="185">
        <f t="shared" si="697"/>
        <v>720</v>
      </c>
      <c r="AM354" s="185">
        <f t="shared" si="697"/>
        <v>-85</v>
      </c>
      <c r="AN354" s="185">
        <f>AN348-AN353</f>
        <v>986</v>
      </c>
      <c r="AO354" s="199">
        <f t="shared" si="698" ref="AO354:AQ354">AO348-AO353</f>
        <v>1616</v>
      </c>
      <c r="AP354" s="1009">
        <f t="shared" si="698"/>
        <v>3237</v>
      </c>
      <c r="AQ354" s="185">
        <f t="shared" si="698"/>
        <v>891</v>
      </c>
      <c r="AR354" s="185">
        <f t="shared" si="699" ref="AR354:AW354">AR348-AR353</f>
        <v>1131</v>
      </c>
      <c r="AS354" s="185">
        <f t="shared" si="699"/>
        <v>786</v>
      </c>
      <c r="AT354" s="199">
        <f t="shared" si="699"/>
        <v>1650</v>
      </c>
      <c r="AU354" s="1009">
        <f t="shared" si="699"/>
        <v>4458</v>
      </c>
      <c r="AV354" s="185">
        <f t="shared" si="699"/>
        <v>1182</v>
      </c>
      <c r="AW354" s="185">
        <f t="shared" si="699"/>
        <v>657</v>
      </c>
      <c r="AX354" s="185">
        <f t="shared" si="700" ref="AX354:BC354">AX348-AX353</f>
        <v>528</v>
      </c>
      <c r="AY354" s="199">
        <f t="shared" si="700"/>
        <v>987</v>
      </c>
      <c r="AZ354" s="1009">
        <f t="shared" si="700"/>
        <v>3354</v>
      </c>
      <c r="BA354" s="185">
        <f t="shared" si="700"/>
        <v>928</v>
      </c>
      <c r="BB354" s="185">
        <f t="shared" si="700"/>
        <v>-48</v>
      </c>
      <c r="BC354" s="185">
        <f t="shared" si="700"/>
        <v>472</v>
      </c>
      <c r="BD354" s="199">
        <f>BD348-BD353</f>
        <v>2019</v>
      </c>
      <c r="BE354" s="1009">
        <f>BE348-BE353</f>
        <v>3371</v>
      </c>
      <c r="BF354" s="185">
        <f>BF348-BF353</f>
        <v>1370</v>
      </c>
      <c r="BG354" s="185">
        <f>BG348-BG353</f>
        <v>656</v>
      </c>
      <c r="BH354" s="749">
        <f>BH348-BH353</f>
        <v>1560</v>
      </c>
      <c r="BI354" s="199"/>
      <c r="BJ354" s="1009"/>
      <c r="BK354" s="199"/>
      <c r="BL354" s="199"/>
      <c r="BM354" s="199"/>
      <c r="BN354" s="199"/>
      <c r="BO354" s="1009"/>
      <c r="BP354" s="1009"/>
      <c r="BQ354" s="1009"/>
      <c r="BR354" s="1009"/>
      <c r="BS354" s="833"/>
    </row>
    <row r="355" spans="1:71" s="24" customFormat="1" ht="15" hidden="1" outlineLevel="1">
      <c r="A355" s="60" t="s">
        <v>116</v>
      </c>
      <c r="B355" s="478"/>
      <c r="C355" s="1033">
        <v>1089</v>
      </c>
      <c r="D355" s="1033">
        <v>1090</v>
      </c>
      <c r="E355" s="1033">
        <v>-74</v>
      </c>
      <c r="F355" s="1033">
        <v>693</v>
      </c>
      <c r="G355" s="1033">
        <v>1272</v>
      </c>
      <c r="H355" s="927">
        <v>418</v>
      </c>
      <c r="I355" s="927">
        <v>218</v>
      </c>
      <c r="J355" s="927">
        <v>339</v>
      </c>
      <c r="K355" s="205">
        <f>L355-SUM(H355,I355,J355)</f>
        <v>422</v>
      </c>
      <c r="L355" s="1033">
        <v>1397</v>
      </c>
      <c r="M355" s="927">
        <v>315</v>
      </c>
      <c r="N355" s="927">
        <v>264</v>
      </c>
      <c r="O355" s="927">
        <v>379</v>
      </c>
      <c r="P355" s="205">
        <f>Q355-SUM(M355,N355,O355)</f>
        <v>343</v>
      </c>
      <c r="Q355" s="1033">
        <v>1301</v>
      </c>
      <c r="R355" s="927">
        <v>226</v>
      </c>
      <c r="S355" s="927">
        <v>223</v>
      </c>
      <c r="T355" s="927">
        <v>231</v>
      </c>
      <c r="U355" s="205">
        <f>V355-SUM(R355,S355,T355)</f>
        <v>359</v>
      </c>
      <c r="V355" s="1033">
        <v>1039</v>
      </c>
      <c r="W355" s="927">
        <v>143</v>
      </c>
      <c r="X355" s="927">
        <v>195</v>
      </c>
      <c r="Y355" s="927">
        <v>27</v>
      </c>
      <c r="Z355" s="186">
        <f>AA355-SUM(W355,X355,Y355)</f>
        <v>309</v>
      </c>
      <c r="AA355" s="1033">
        <v>674</v>
      </c>
      <c r="AB355" s="927">
        <v>109</v>
      </c>
      <c r="AC355" s="927">
        <v>107</v>
      </c>
      <c r="AD355" s="927">
        <v>97</v>
      </c>
      <c r="AE355" s="186">
        <f>AF355-SUM(AB355,AC355,AD355)</f>
        <v>125</v>
      </c>
      <c r="AF355" s="1033">
        <v>438</v>
      </c>
      <c r="AG355" s="927">
        <v>171</v>
      </c>
      <c r="AH355" s="927">
        <v>108</v>
      </c>
      <c r="AI355" s="927">
        <v>36</v>
      </c>
      <c r="AJ355" s="186">
        <f>AK355-SUM(AG355,AH355,AI355)</f>
        <v>201</v>
      </c>
      <c r="AK355" s="1033">
        <v>516</v>
      </c>
      <c r="AL355" s="927">
        <v>120</v>
      </c>
      <c r="AM355" s="927">
        <v>-45</v>
      </c>
      <c r="AN355" s="927">
        <v>159</v>
      </c>
      <c r="AO355" s="186">
        <f>AP355-SUM(AL355,AM355,AN355)</f>
        <v>306</v>
      </c>
      <c r="AP355" s="1033">
        <v>540</v>
      </c>
      <c r="AQ355" s="927">
        <v>158</v>
      </c>
      <c r="AR355" s="927">
        <v>197</v>
      </c>
      <c r="AS355" s="927">
        <v>124</v>
      </c>
      <c r="AT355" s="186">
        <f>AU355-SUM(AQ355,AR355,AS355)</f>
        <v>317</v>
      </c>
      <c r="AU355" s="1033">
        <v>796</v>
      </c>
      <c r="AV355" s="927">
        <v>164</v>
      </c>
      <c r="AW355" s="927">
        <v>106</v>
      </c>
      <c r="AX355" s="927">
        <v>74</v>
      </c>
      <c r="AY355" s="186">
        <f>AZ355-SUM(AV355,AW355,AX355)</f>
        <v>168</v>
      </c>
      <c r="AZ355" s="1033">
        <v>512</v>
      </c>
      <c r="BA355" s="927">
        <v>-47</v>
      </c>
      <c r="BB355" s="927">
        <v>-34</v>
      </c>
      <c r="BC355" s="927">
        <v>68</v>
      </c>
      <c r="BD355" s="186">
        <f>BE355-SUM(BA355,BB355,BC355)</f>
        <v>393</v>
      </c>
      <c r="BE355" s="1033">
        <v>380</v>
      </c>
      <c r="BF355" s="927">
        <v>247</v>
      </c>
      <c r="BG355" s="927">
        <v>122</v>
      </c>
      <c r="BH355" s="928">
        <v>300</v>
      </c>
      <c r="BI355" s="205"/>
      <c r="BJ355" s="996"/>
      <c r="BK355" s="205"/>
      <c r="BL355" s="205"/>
      <c r="BM355" s="205"/>
      <c r="BN355" s="205"/>
      <c r="BO355" s="996"/>
      <c r="BP355" s="996"/>
      <c r="BQ355" s="996"/>
      <c r="BR355" s="996"/>
      <c r="BS355" s="833"/>
    </row>
    <row r="356" spans="1:71" s="181" customFormat="1" ht="15" hidden="1" outlineLevel="1">
      <c r="A356" s="63" t="s">
        <v>117</v>
      </c>
      <c r="B356" s="481"/>
      <c r="C356" s="1044">
        <f t="shared" si="701" ref="C356:AM356">C354-C355</f>
        <v>3622</v>
      </c>
      <c r="D356" s="1044">
        <f t="shared" si="701"/>
        <v>3216</v>
      </c>
      <c r="E356" s="1044">
        <f t="shared" si="701"/>
        <v>1426</v>
      </c>
      <c r="F356" s="1044">
        <f t="shared" si="701"/>
        <v>2473</v>
      </c>
      <c r="G356" s="1044">
        <f t="shared" si="701"/>
        <v>3673</v>
      </c>
      <c r="H356" s="91">
        <f t="shared" si="701"/>
        <v>1052</v>
      </c>
      <c r="I356" s="91">
        <f t="shared" si="701"/>
        <v>683</v>
      </c>
      <c r="J356" s="91">
        <f t="shared" si="701"/>
        <v>919</v>
      </c>
      <c r="K356" s="91">
        <f t="shared" si="701"/>
        <v>1038</v>
      </c>
      <c r="L356" s="1044">
        <f t="shared" si="701"/>
        <v>3692</v>
      </c>
      <c r="M356" s="91">
        <f t="shared" si="701"/>
        <v>833</v>
      </c>
      <c r="N356" s="91">
        <f t="shared" si="701"/>
        <v>812</v>
      </c>
      <c r="O356" s="91">
        <f t="shared" si="701"/>
        <v>928</v>
      </c>
      <c r="P356" s="91">
        <f t="shared" si="701"/>
        <v>866</v>
      </c>
      <c r="Q356" s="1044">
        <f t="shared" si="701"/>
        <v>3439</v>
      </c>
      <c r="R356" s="91">
        <f t="shared" si="701"/>
        <v>691</v>
      </c>
      <c r="S356" s="91">
        <f t="shared" si="701"/>
        <v>664</v>
      </c>
      <c r="T356" s="91">
        <f t="shared" si="701"/>
        <v>716</v>
      </c>
      <c r="U356" s="91">
        <f t="shared" si="701"/>
        <v>943</v>
      </c>
      <c r="V356" s="1044">
        <f t="shared" si="701"/>
        <v>3014</v>
      </c>
      <c r="W356" s="91">
        <f t="shared" si="701"/>
        <v>617</v>
      </c>
      <c r="X356" s="91">
        <f t="shared" si="701"/>
        <v>595</v>
      </c>
      <c r="Y356" s="91">
        <f t="shared" si="701"/>
        <v>293</v>
      </c>
      <c r="Z356" s="334">
        <f t="shared" si="701"/>
        <v>551</v>
      </c>
      <c r="AA356" s="1045">
        <f t="shared" si="701"/>
        <v>2056</v>
      </c>
      <c r="AB356" s="91">
        <f t="shared" si="701"/>
        <v>669</v>
      </c>
      <c r="AC356" s="91">
        <f t="shared" si="701"/>
        <v>524</v>
      </c>
      <c r="AD356" s="91">
        <f t="shared" si="701"/>
        <v>709</v>
      </c>
      <c r="AE356" s="334">
        <f t="shared" si="701"/>
        <v>621</v>
      </c>
      <c r="AF356" s="1045">
        <f t="shared" si="701"/>
        <v>2523</v>
      </c>
      <c r="AG356" s="91">
        <f t="shared" si="701"/>
        <v>796</v>
      </c>
      <c r="AH356" s="91">
        <f t="shared" si="701"/>
        <v>557</v>
      </c>
      <c r="AI356" s="91">
        <f t="shared" si="701"/>
        <v>396</v>
      </c>
      <c r="AJ356" s="334">
        <f t="shared" si="701"/>
        <v>873</v>
      </c>
      <c r="AK356" s="1045">
        <f t="shared" si="701"/>
        <v>2622</v>
      </c>
      <c r="AL356" s="91">
        <f t="shared" si="701"/>
        <v>600</v>
      </c>
      <c r="AM356" s="91">
        <f t="shared" si="701"/>
        <v>-40</v>
      </c>
      <c r="AN356" s="91">
        <f>AN354-AN355</f>
        <v>827</v>
      </c>
      <c r="AO356" s="334">
        <f t="shared" si="702" ref="AO356:AQ356">AO354-AO355</f>
        <v>1310</v>
      </c>
      <c r="AP356" s="1045">
        <f t="shared" si="702"/>
        <v>2697</v>
      </c>
      <c r="AQ356" s="91">
        <f t="shared" si="702"/>
        <v>733</v>
      </c>
      <c r="AR356" s="91">
        <f t="shared" si="703" ref="AR356:AW356">AR354-AR355</f>
        <v>934</v>
      </c>
      <c r="AS356" s="91">
        <f t="shared" si="703"/>
        <v>662</v>
      </c>
      <c r="AT356" s="334">
        <f t="shared" si="703"/>
        <v>1333</v>
      </c>
      <c r="AU356" s="1045">
        <f t="shared" si="703"/>
        <v>3662</v>
      </c>
      <c r="AV356" s="91">
        <f t="shared" si="703"/>
        <v>1018</v>
      </c>
      <c r="AW356" s="91">
        <f t="shared" si="703"/>
        <v>551</v>
      </c>
      <c r="AX356" s="91">
        <f t="shared" si="704" ref="AX356:BC356">AX354-AX355</f>
        <v>454</v>
      </c>
      <c r="AY356" s="334">
        <f t="shared" si="704"/>
        <v>819</v>
      </c>
      <c r="AZ356" s="1045">
        <f t="shared" si="704"/>
        <v>2842</v>
      </c>
      <c r="BA356" s="91">
        <f t="shared" si="704"/>
        <v>975</v>
      </c>
      <c r="BB356" s="91">
        <f t="shared" si="704"/>
        <v>-14</v>
      </c>
      <c r="BC356" s="91">
        <f t="shared" si="704"/>
        <v>404</v>
      </c>
      <c r="BD356" s="334">
        <f>BD354-BD355</f>
        <v>1626</v>
      </c>
      <c r="BE356" s="1045">
        <f>BE354-BE355</f>
        <v>2991</v>
      </c>
      <c r="BF356" s="91">
        <f>BF354-BF355</f>
        <v>1123</v>
      </c>
      <c r="BG356" s="91">
        <f>BG354-BG355</f>
        <v>534</v>
      </c>
      <c r="BH356" s="804">
        <f>BH354-BH355</f>
        <v>1260</v>
      </c>
      <c r="BI356" s="334"/>
      <c r="BJ356" s="1045"/>
      <c r="BK356" s="334"/>
      <c r="BL356" s="334"/>
      <c r="BM356" s="334"/>
      <c r="BN356" s="334"/>
      <c r="BO356" s="1045"/>
      <c r="BP356" s="1045"/>
      <c r="BQ356" s="1045"/>
      <c r="BR356" s="1045"/>
      <c r="BS356" s="423"/>
    </row>
    <row r="357" spans="1:71" s="24" customFormat="1" ht="15" hidden="1" outlineLevel="1">
      <c r="A357" s="482"/>
      <c r="B357" s="483"/>
      <c r="C357" s="1046"/>
      <c r="D357" s="1046"/>
      <c r="E357" s="1046"/>
      <c r="F357" s="1046"/>
      <c r="G357" s="1046"/>
      <c r="H357" s="484"/>
      <c r="I357" s="484"/>
      <c r="J357" s="484"/>
      <c r="K357" s="484"/>
      <c r="L357" s="1046"/>
      <c r="M357" s="484"/>
      <c r="N357" s="484"/>
      <c r="O357" s="484"/>
      <c r="P357" s="484"/>
      <c r="Q357" s="1046"/>
      <c r="R357" s="484"/>
      <c r="S357" s="484"/>
      <c r="T357" s="484"/>
      <c r="U357" s="484"/>
      <c r="V357" s="1046"/>
      <c r="W357" s="484"/>
      <c r="X357" s="484"/>
      <c r="Y357" s="484"/>
      <c r="Z357" s="484"/>
      <c r="AA357" s="1046"/>
      <c r="AB357" s="484"/>
      <c r="AC357" s="484"/>
      <c r="AD357" s="484"/>
      <c r="AE357" s="484"/>
      <c r="AF357" s="1046"/>
      <c r="AG357" s="484"/>
      <c r="AH357" s="484"/>
      <c r="AI357" s="484"/>
      <c r="AJ357" s="484"/>
      <c r="AK357" s="1046"/>
      <c r="AL357" s="484"/>
      <c r="AM357" s="484"/>
      <c r="AN357" s="484"/>
      <c r="AO357" s="484"/>
      <c r="AP357" s="1046"/>
      <c r="AQ357" s="484"/>
      <c r="AR357" s="484"/>
      <c r="AS357" s="484"/>
      <c r="AT357" s="484"/>
      <c r="AU357" s="1046"/>
      <c r="AV357" s="484"/>
      <c r="AW357" s="484"/>
      <c r="AX357" s="484"/>
      <c r="AY357" s="484"/>
      <c r="AZ357" s="1046"/>
      <c r="BA357" s="484"/>
      <c r="BB357" s="484"/>
      <c r="BC357" s="210"/>
      <c r="BD357" s="210"/>
      <c r="BE357" s="994"/>
      <c r="BF357" s="210"/>
      <c r="BG357" s="484"/>
      <c r="BH357" s="553"/>
      <c r="BI357" s="484"/>
      <c r="BJ357" s="1046"/>
      <c r="BK357" s="484"/>
      <c r="BL357" s="484"/>
      <c r="BM357" s="484"/>
      <c r="BN357" s="484"/>
      <c r="BO357" s="1046"/>
      <c r="BP357" s="1046"/>
      <c r="BQ357" s="1046"/>
      <c r="BR357" s="1046"/>
      <c r="BS357" s="833"/>
    </row>
    <row r="358" spans="1:71" s="24" customFormat="1" ht="15" hidden="1" outlineLevel="1">
      <c r="A358" s="129" t="s">
        <v>118</v>
      </c>
      <c r="B358" s="129"/>
      <c r="C358" s="137">
        <f t="shared" si="705" ref="C358:AH358">IF(ISBLANK(INDEX(MO_IS_FirstRow,0,COLUMN())),0,ROUND(C356-C571,6))</f>
        <v>0</v>
      </c>
      <c r="D358" s="137">
        <f t="shared" si="705"/>
        <v>0</v>
      </c>
      <c r="E358" s="137">
        <f t="shared" si="705"/>
        <v>0</v>
      </c>
      <c r="F358" s="137">
        <f t="shared" si="705"/>
        <v>0</v>
      </c>
      <c r="G358" s="137">
        <f t="shared" si="705"/>
        <v>0</v>
      </c>
      <c r="H358" s="137">
        <f t="shared" si="705"/>
        <v>0</v>
      </c>
      <c r="I358" s="137">
        <f t="shared" si="705"/>
        <v>0</v>
      </c>
      <c r="J358" s="137">
        <f t="shared" si="705"/>
        <v>0</v>
      </c>
      <c r="K358" s="137">
        <f t="shared" si="705"/>
        <v>0</v>
      </c>
      <c r="L358" s="137">
        <f t="shared" si="705"/>
        <v>0</v>
      </c>
      <c r="M358" s="137">
        <f t="shared" si="705"/>
        <v>0</v>
      </c>
      <c r="N358" s="137">
        <f t="shared" si="705"/>
        <v>0</v>
      </c>
      <c r="O358" s="137">
        <f t="shared" si="705"/>
        <v>0</v>
      </c>
      <c r="P358" s="137">
        <f t="shared" si="705"/>
        <v>0</v>
      </c>
      <c r="Q358" s="137">
        <f t="shared" si="705"/>
        <v>0</v>
      </c>
      <c r="R358" s="137">
        <f t="shared" si="705"/>
        <v>0</v>
      </c>
      <c r="S358" s="137">
        <f t="shared" si="705"/>
        <v>0</v>
      </c>
      <c r="T358" s="137">
        <f t="shared" si="705"/>
        <v>0</v>
      </c>
      <c r="U358" s="137">
        <f t="shared" si="705"/>
        <v>0</v>
      </c>
      <c r="V358" s="137">
        <f t="shared" si="705"/>
        <v>0</v>
      </c>
      <c r="W358" s="137">
        <f t="shared" si="705"/>
        <v>0</v>
      </c>
      <c r="X358" s="137">
        <f t="shared" si="705"/>
        <v>0</v>
      </c>
      <c r="Y358" s="137">
        <f t="shared" si="705"/>
        <v>0</v>
      </c>
      <c r="Z358" s="137">
        <f t="shared" si="705"/>
        <v>0</v>
      </c>
      <c r="AA358" s="137">
        <f t="shared" si="705"/>
        <v>0</v>
      </c>
      <c r="AB358" s="137">
        <f t="shared" si="705"/>
        <v>0</v>
      </c>
      <c r="AC358" s="137">
        <f t="shared" si="705"/>
        <v>0</v>
      </c>
      <c r="AD358" s="137">
        <f t="shared" si="705"/>
        <v>0</v>
      </c>
      <c r="AE358" s="137">
        <f t="shared" si="705"/>
        <v>0</v>
      </c>
      <c r="AF358" s="137">
        <f t="shared" si="705"/>
        <v>0</v>
      </c>
      <c r="AG358" s="137">
        <f t="shared" si="705"/>
        <v>0</v>
      </c>
      <c r="AH358" s="137">
        <f t="shared" si="705"/>
        <v>0</v>
      </c>
      <c r="AI358" s="137">
        <f t="shared" si="706" ref="AI358:AW358">IF(ISBLANK(INDEX(MO_IS_FirstRow,0,COLUMN())),0,ROUND(AI356-AI571,6))</f>
        <v>0</v>
      </c>
      <c r="AJ358" s="137">
        <f t="shared" si="706"/>
        <v>0</v>
      </c>
      <c r="AK358" s="137">
        <f t="shared" si="706"/>
        <v>0</v>
      </c>
      <c r="AL358" s="137">
        <f t="shared" si="706"/>
        <v>0</v>
      </c>
      <c r="AM358" s="137">
        <f t="shared" si="706"/>
        <v>0</v>
      </c>
      <c r="AN358" s="137">
        <f t="shared" si="706"/>
        <v>0</v>
      </c>
      <c r="AO358" s="137">
        <f t="shared" si="706"/>
        <v>0</v>
      </c>
      <c r="AP358" s="137">
        <f t="shared" si="706"/>
        <v>0</v>
      </c>
      <c r="AQ358" s="137">
        <f t="shared" si="706"/>
        <v>0</v>
      </c>
      <c r="AR358" s="137">
        <f t="shared" si="706"/>
        <v>0</v>
      </c>
      <c r="AS358" s="137">
        <f t="shared" si="706"/>
        <v>0</v>
      </c>
      <c r="AT358" s="137">
        <f t="shared" si="706"/>
        <v>0</v>
      </c>
      <c r="AU358" s="137">
        <f t="shared" si="706"/>
        <v>0</v>
      </c>
      <c r="AV358" s="137">
        <f t="shared" si="706"/>
        <v>0</v>
      </c>
      <c r="AW358" s="137">
        <f t="shared" si="706"/>
        <v>0</v>
      </c>
      <c r="AX358" s="137">
        <f t="shared" si="707" ref="AX358:AZ358">IF(ISBLANK(INDEX(MO_IS_FirstRow,0,COLUMN())),0,ROUND(AX356-AX571,6))</f>
        <v>0</v>
      </c>
      <c r="AY358" s="137">
        <f t="shared" si="707"/>
        <v>0</v>
      </c>
      <c r="AZ358" s="137">
        <f t="shared" si="707"/>
        <v>0</v>
      </c>
      <c r="BA358" s="137">
        <f t="shared" si="708" ref="BA358:BR358">IF(ISBLANK(INDEX(MO_IS_FirstRow,0,COLUMN())),0,ROUND(BA356-BA571,6))</f>
        <v>0</v>
      </c>
      <c r="BB358" s="137">
        <f t="shared" si="708"/>
        <v>0</v>
      </c>
      <c r="BC358" s="137">
        <f t="shared" si="708"/>
        <v>0</v>
      </c>
      <c r="BD358" s="137">
        <f t="shared" si="708"/>
        <v>0</v>
      </c>
      <c r="BE358" s="137">
        <f t="shared" si="708"/>
        <v>0</v>
      </c>
      <c r="BF358" s="137">
        <f>IF(ISBLANK(INDEX(MO_IS_FirstRow,0,COLUMN())),0,ROUND(BF356-BF571,6))</f>
        <v>0</v>
      </c>
      <c r="BG358" s="137">
        <f>IF(ISBLANK(INDEX(MO_IS_FirstRow,0,COLUMN())),0,ROUND(BG356-BG571,6))</f>
        <v>0</v>
      </c>
      <c r="BH358" s="555">
        <f>IF(ISBLANK(INDEX(MO_IS_FirstRow,0,COLUMN())),0,ROUND(BH356-BH571,6))</f>
        <v>0</v>
      </c>
      <c r="BI358" s="137">
        <f t="shared" si="708"/>
        <v>0</v>
      </c>
      <c r="BJ358" s="137">
        <f t="shared" si="708"/>
        <v>0</v>
      </c>
      <c r="BK358" s="137">
        <f t="shared" si="708"/>
        <v>0</v>
      </c>
      <c r="BL358" s="137">
        <f t="shared" si="708"/>
        <v>0</v>
      </c>
      <c r="BM358" s="137">
        <f t="shared" si="708"/>
        <v>0</v>
      </c>
      <c r="BN358" s="137">
        <f t="shared" si="708"/>
        <v>0</v>
      </c>
      <c r="BO358" s="137">
        <f t="shared" si="708"/>
        <v>0</v>
      </c>
      <c r="BP358" s="137">
        <f t="shared" si="708"/>
        <v>0</v>
      </c>
      <c r="BQ358" s="137">
        <f t="shared" si="708"/>
        <v>0</v>
      </c>
      <c r="BR358" s="137">
        <f t="shared" si="708"/>
        <v>0</v>
      </c>
      <c r="BS358" s="833"/>
    </row>
    <row r="359" spans="1:71" s="24" customFormat="1" ht="15" collapsed="1">
      <c r="A359" s="449"/>
      <c r="B359" s="462"/>
      <c r="C359" s="1011"/>
      <c r="D359" s="1011"/>
      <c r="E359" s="1011"/>
      <c r="F359" s="1011"/>
      <c r="G359" s="1011"/>
      <c r="H359" s="857"/>
      <c r="I359" s="857"/>
      <c r="J359" s="857"/>
      <c r="K359" s="857"/>
      <c r="L359" s="1011"/>
      <c r="M359" s="857"/>
      <c r="N359" s="857"/>
      <c r="O359" s="857"/>
      <c r="P359" s="857"/>
      <c r="Q359" s="1011"/>
      <c r="R359" s="857"/>
      <c r="S359" s="857"/>
      <c r="T359" s="857"/>
      <c r="U359" s="857"/>
      <c r="V359" s="1011"/>
      <c r="W359" s="857"/>
      <c r="X359" s="857"/>
      <c r="Y359" s="857"/>
      <c r="Z359" s="857"/>
      <c r="AA359" s="1011"/>
      <c r="AB359" s="857"/>
      <c r="AC359" s="857"/>
      <c r="AD359" s="857"/>
      <c r="AE359" s="857"/>
      <c r="AF359" s="1011"/>
      <c r="AG359" s="857"/>
      <c r="AH359" s="857"/>
      <c r="AI359" s="857"/>
      <c r="AJ359" s="857"/>
      <c r="AK359" s="1011"/>
      <c r="AL359" s="857"/>
      <c r="AM359" s="857"/>
      <c r="AN359" s="857"/>
      <c r="AO359" s="857"/>
      <c r="AP359" s="1011"/>
      <c r="AQ359" s="857"/>
      <c r="AR359" s="857"/>
      <c r="AS359" s="857"/>
      <c r="AT359" s="857"/>
      <c r="AU359" s="1011"/>
      <c r="AV359" s="857"/>
      <c r="AW359" s="857"/>
      <c r="AX359" s="857"/>
      <c r="AY359" s="857"/>
      <c r="AZ359" s="1011"/>
      <c r="BA359" s="857"/>
      <c r="BB359" s="857"/>
      <c r="BC359" s="857"/>
      <c r="BD359" s="857"/>
      <c r="BE359" s="1011"/>
      <c r="BF359" s="857"/>
      <c r="BG359" s="857"/>
      <c r="BH359" s="858"/>
      <c r="BI359" s="857"/>
      <c r="BJ359" s="1011"/>
      <c r="BK359" s="857"/>
      <c r="BL359" s="857"/>
      <c r="BM359" s="857"/>
      <c r="BN359" s="857"/>
      <c r="BO359" s="1011"/>
      <c r="BP359" s="1011"/>
      <c r="BQ359" s="1011"/>
      <c r="BR359" s="1011"/>
      <c r="BS359" s="833"/>
    </row>
    <row r="360" spans="1:71" s="24" customFormat="1" ht="15">
      <c r="A360" s="826" t="s">
        <v>119</v>
      </c>
      <c r="B360" s="826"/>
      <c r="C360" s="847"/>
      <c r="D360" s="847"/>
      <c r="E360" s="847"/>
      <c r="F360" s="847"/>
      <c r="G360" s="847"/>
      <c r="H360" s="847"/>
      <c r="I360" s="847"/>
      <c r="J360" s="847"/>
      <c r="K360" s="847"/>
      <c r="L360" s="847"/>
      <c r="M360" s="847"/>
      <c r="N360" s="847"/>
      <c r="O360" s="847"/>
      <c r="P360" s="847"/>
      <c r="Q360" s="847"/>
      <c r="R360" s="847"/>
      <c r="S360" s="847"/>
      <c r="T360" s="847"/>
      <c r="U360" s="847"/>
      <c r="V360" s="847"/>
      <c r="W360" s="847"/>
      <c r="X360" s="847"/>
      <c r="Y360" s="847"/>
      <c r="Z360" s="847"/>
      <c r="AA360" s="847"/>
      <c r="AB360" s="847"/>
      <c r="AC360" s="847"/>
      <c r="AD360" s="847"/>
      <c r="AE360" s="847"/>
      <c r="AF360" s="847"/>
      <c r="AG360" s="847"/>
      <c r="AH360" s="847"/>
      <c r="AI360" s="847"/>
      <c r="AJ360" s="847"/>
      <c r="AK360" s="847"/>
      <c r="AL360" s="847"/>
      <c r="AM360" s="847"/>
      <c r="AN360" s="847"/>
      <c r="AO360" s="847"/>
      <c r="AP360" s="847"/>
      <c r="AQ360" s="847"/>
      <c r="AR360" s="847"/>
      <c r="AS360" s="847"/>
      <c r="AT360" s="847"/>
      <c r="AU360" s="847"/>
      <c r="AV360" s="847"/>
      <c r="AW360" s="847"/>
      <c r="AX360" s="847"/>
      <c r="AY360" s="847"/>
      <c r="AZ360" s="847"/>
      <c r="BA360" s="847"/>
      <c r="BB360" s="847"/>
      <c r="BC360" s="847"/>
      <c r="BD360" s="847"/>
      <c r="BE360" s="847"/>
      <c r="BF360" s="847"/>
      <c r="BG360" s="847"/>
      <c r="BH360" s="848"/>
      <c r="BI360" s="847"/>
      <c r="BJ360" s="847"/>
      <c r="BK360" s="847"/>
      <c r="BL360" s="847"/>
      <c r="BM360" s="847"/>
      <c r="BN360" s="847"/>
      <c r="BO360" s="847"/>
      <c r="BP360" s="847"/>
      <c r="BQ360" s="847"/>
      <c r="BR360" s="847"/>
      <c r="BS360" s="833"/>
    </row>
    <row r="361" spans="1:71" s="24" customFormat="1" ht="15" hidden="1" outlineLevel="1">
      <c r="A361" s="197" t="s">
        <v>117</v>
      </c>
      <c r="B361" s="463"/>
      <c r="C361" s="1008">
        <f t="shared" si="709" ref="C361:AM361">C356</f>
        <v>3622</v>
      </c>
      <c r="D361" s="1008">
        <f t="shared" si="709"/>
        <v>3216</v>
      </c>
      <c r="E361" s="1008">
        <f t="shared" si="709"/>
        <v>1426</v>
      </c>
      <c r="F361" s="1008">
        <f t="shared" si="709"/>
        <v>2473</v>
      </c>
      <c r="G361" s="1008">
        <f t="shared" si="709"/>
        <v>3673</v>
      </c>
      <c r="H361" s="185">
        <f t="shared" si="709"/>
        <v>1052</v>
      </c>
      <c r="I361" s="185">
        <f t="shared" si="709"/>
        <v>683</v>
      </c>
      <c r="J361" s="185">
        <f t="shared" si="709"/>
        <v>919</v>
      </c>
      <c r="K361" s="185">
        <f t="shared" si="709"/>
        <v>1038</v>
      </c>
      <c r="L361" s="1008">
        <f t="shared" si="709"/>
        <v>3692</v>
      </c>
      <c r="M361" s="185">
        <f t="shared" si="709"/>
        <v>833</v>
      </c>
      <c r="N361" s="185">
        <f t="shared" si="709"/>
        <v>812</v>
      </c>
      <c r="O361" s="185">
        <f t="shared" si="709"/>
        <v>928</v>
      </c>
      <c r="P361" s="185">
        <f t="shared" si="709"/>
        <v>866</v>
      </c>
      <c r="Q361" s="1008">
        <f t="shared" si="709"/>
        <v>3439</v>
      </c>
      <c r="R361" s="185">
        <f t="shared" si="709"/>
        <v>691</v>
      </c>
      <c r="S361" s="185">
        <f t="shared" si="709"/>
        <v>664</v>
      </c>
      <c r="T361" s="185">
        <f t="shared" si="709"/>
        <v>716</v>
      </c>
      <c r="U361" s="185">
        <f t="shared" si="709"/>
        <v>943</v>
      </c>
      <c r="V361" s="1008">
        <f t="shared" si="709"/>
        <v>3014</v>
      </c>
      <c r="W361" s="185">
        <f t="shared" si="709"/>
        <v>617</v>
      </c>
      <c r="X361" s="185">
        <f t="shared" si="709"/>
        <v>595</v>
      </c>
      <c r="Y361" s="185">
        <f t="shared" si="709"/>
        <v>293</v>
      </c>
      <c r="Z361" s="185">
        <f t="shared" si="709"/>
        <v>551</v>
      </c>
      <c r="AA361" s="1008">
        <f t="shared" si="709"/>
        <v>2056</v>
      </c>
      <c r="AB361" s="185">
        <f t="shared" si="709"/>
        <v>669</v>
      </c>
      <c r="AC361" s="185">
        <f t="shared" si="709"/>
        <v>524</v>
      </c>
      <c r="AD361" s="185">
        <f t="shared" si="709"/>
        <v>709</v>
      </c>
      <c r="AE361" s="185">
        <f t="shared" si="709"/>
        <v>621</v>
      </c>
      <c r="AF361" s="1008">
        <f t="shared" si="709"/>
        <v>2523</v>
      </c>
      <c r="AG361" s="185">
        <f t="shared" si="709"/>
        <v>796</v>
      </c>
      <c r="AH361" s="185">
        <f t="shared" si="709"/>
        <v>557</v>
      </c>
      <c r="AI361" s="185">
        <f t="shared" si="709"/>
        <v>396</v>
      </c>
      <c r="AJ361" s="185">
        <f t="shared" si="709"/>
        <v>873</v>
      </c>
      <c r="AK361" s="1008">
        <f t="shared" si="709"/>
        <v>2622</v>
      </c>
      <c r="AL361" s="185">
        <f t="shared" si="709"/>
        <v>600</v>
      </c>
      <c r="AM361" s="185">
        <f t="shared" si="709"/>
        <v>-40</v>
      </c>
      <c r="AN361" s="185">
        <f>AN356</f>
        <v>827</v>
      </c>
      <c r="AO361" s="185">
        <f t="shared" si="710" ref="AO361:AQ361">AO356</f>
        <v>1310</v>
      </c>
      <c r="AP361" s="1008">
        <f t="shared" si="710"/>
        <v>2697</v>
      </c>
      <c r="AQ361" s="185">
        <f t="shared" si="710"/>
        <v>733</v>
      </c>
      <c r="AR361" s="185">
        <f t="shared" si="711" ref="AR361:AW361">AR356</f>
        <v>934</v>
      </c>
      <c r="AS361" s="185">
        <f t="shared" si="711"/>
        <v>662</v>
      </c>
      <c r="AT361" s="185">
        <f t="shared" si="711"/>
        <v>1333</v>
      </c>
      <c r="AU361" s="1008">
        <f t="shared" si="711"/>
        <v>3662</v>
      </c>
      <c r="AV361" s="185">
        <f t="shared" si="711"/>
        <v>1018</v>
      </c>
      <c r="AW361" s="185">
        <f t="shared" si="711"/>
        <v>551</v>
      </c>
      <c r="AX361" s="185">
        <f t="shared" si="712" ref="AX361:BC361">AX356</f>
        <v>454</v>
      </c>
      <c r="AY361" s="185">
        <f t="shared" si="712"/>
        <v>819</v>
      </c>
      <c r="AZ361" s="1008">
        <f t="shared" si="712"/>
        <v>2842</v>
      </c>
      <c r="BA361" s="185">
        <f t="shared" si="712"/>
        <v>975</v>
      </c>
      <c r="BB361" s="185">
        <f t="shared" si="712"/>
        <v>-14</v>
      </c>
      <c r="BC361" s="185">
        <f t="shared" si="712"/>
        <v>404</v>
      </c>
      <c r="BD361" s="185">
        <f>BD356</f>
        <v>1626</v>
      </c>
      <c r="BE361" s="1008">
        <f>BE356</f>
        <v>2991</v>
      </c>
      <c r="BF361" s="185">
        <f>BF356</f>
        <v>1123</v>
      </c>
      <c r="BG361" s="185">
        <f>BG356</f>
        <v>534</v>
      </c>
      <c r="BH361" s="749">
        <f>BH356</f>
        <v>1260</v>
      </c>
      <c r="BI361" s="199"/>
      <c r="BJ361" s="1009"/>
      <c r="BK361" s="199"/>
      <c r="BL361" s="199"/>
      <c r="BM361" s="199"/>
      <c r="BN361" s="199"/>
      <c r="BO361" s="1009"/>
      <c r="BP361" s="1009"/>
      <c r="BQ361" s="1009"/>
      <c r="BR361" s="1009"/>
      <c r="BS361" s="833"/>
    </row>
    <row r="362" spans="1:71" s="24" customFormat="1" ht="15" hidden="1" outlineLevel="1">
      <c r="A362" s="264" t="s">
        <v>120</v>
      </c>
      <c r="B362" s="485"/>
      <c r="C362" s="1032">
        <v>-3</v>
      </c>
      <c r="D362" s="1032">
        <v>-3</v>
      </c>
      <c r="E362" s="1032">
        <v>-1</v>
      </c>
      <c r="F362" s="994"/>
      <c r="G362" s="994"/>
      <c r="H362" s="210"/>
      <c r="I362" s="210"/>
      <c r="J362" s="210"/>
      <c r="K362" s="210"/>
      <c r="L362" s="994"/>
      <c r="M362" s="210"/>
      <c r="N362" s="210"/>
      <c r="O362" s="210"/>
      <c r="P362" s="210"/>
      <c r="Q362" s="994"/>
      <c r="R362" s="210"/>
      <c r="S362" s="210"/>
      <c r="T362" s="210"/>
      <c r="U362" s="210"/>
      <c r="V362" s="994"/>
      <c r="W362" s="210"/>
      <c r="X362" s="210"/>
      <c r="Y362" s="210"/>
      <c r="Z362" s="210"/>
      <c r="AA362" s="994"/>
      <c r="AB362" s="210"/>
      <c r="AC362" s="210"/>
      <c r="AD362" s="210"/>
      <c r="AE362" s="210"/>
      <c r="AF362" s="994"/>
      <c r="AG362" s="210"/>
      <c r="AH362" s="210"/>
      <c r="AI362" s="210"/>
      <c r="AJ362" s="210"/>
      <c r="AK362" s="994"/>
      <c r="AL362" s="210"/>
      <c r="AM362" s="210"/>
      <c r="AN362" s="210"/>
      <c r="AO362" s="210"/>
      <c r="AP362" s="994"/>
      <c r="AQ362" s="210"/>
      <c r="AR362" s="210"/>
      <c r="AS362" s="210"/>
      <c r="AT362" s="210"/>
      <c r="AU362" s="994"/>
      <c r="AV362" s="210"/>
      <c r="AW362" s="210"/>
      <c r="AX362" s="210"/>
      <c r="AY362" s="210"/>
      <c r="AZ362" s="994"/>
      <c r="BA362" s="210"/>
      <c r="BB362" s="210"/>
      <c r="BC362" s="210"/>
      <c r="BD362" s="210"/>
      <c r="BE362" s="994"/>
      <c r="BF362" s="210"/>
      <c r="BG362" s="210"/>
      <c r="BH362" s="553"/>
      <c r="BI362" s="210"/>
      <c r="BJ362" s="994"/>
      <c r="BK362" s="210"/>
      <c r="BL362" s="210"/>
      <c r="BM362" s="210"/>
      <c r="BN362" s="210"/>
      <c r="BO362" s="994"/>
      <c r="BP362" s="994"/>
      <c r="BQ362" s="994"/>
      <c r="BR362" s="994"/>
      <c r="BS362" s="833"/>
    </row>
    <row r="363" spans="1:71" s="24" customFormat="1" ht="15" hidden="1" outlineLevel="1">
      <c r="A363" s="209" t="s">
        <v>121</v>
      </c>
      <c r="B363" s="465"/>
      <c r="C363" s="1033">
        <v>-26</v>
      </c>
      <c r="D363" s="1033">
        <v>-25</v>
      </c>
      <c r="E363" s="1033">
        <v>-11</v>
      </c>
      <c r="F363" s="1033">
        <v>-19</v>
      </c>
      <c r="G363" s="1033">
        <v>-27</v>
      </c>
      <c r="H363" s="927">
        <v>-7</v>
      </c>
      <c r="I363" s="927">
        <v>-5</v>
      </c>
      <c r="J363" s="927">
        <v>-7</v>
      </c>
      <c r="K363" s="205">
        <f>L363-SUM(H363,I363,J363)</f>
        <v>-8</v>
      </c>
      <c r="L363" s="1033">
        <v>-27</v>
      </c>
      <c r="M363" s="927">
        <v>-6</v>
      </c>
      <c r="N363" s="927">
        <v>-6</v>
      </c>
      <c r="O363" s="927">
        <v>-6</v>
      </c>
      <c r="P363" s="205">
        <f>Q363-SUM(M363,N363,O363)</f>
        <v>-7</v>
      </c>
      <c r="Q363" s="1033">
        <v>-25</v>
      </c>
      <c r="R363" s="927">
        <v>-5</v>
      </c>
      <c r="S363" s="927">
        <v>-5</v>
      </c>
      <c r="T363" s="927">
        <v>-6</v>
      </c>
      <c r="U363" s="205">
        <f>V363-SUM(R363,S363,T363)</f>
        <v>-6</v>
      </c>
      <c r="V363" s="1033">
        <v>-22</v>
      </c>
      <c r="W363" s="927">
        <v>-4</v>
      </c>
      <c r="X363" s="927">
        <v>-5</v>
      </c>
      <c r="Y363" s="927">
        <v>-2</v>
      </c>
      <c r="Z363" s="205">
        <f>AA363-SUM(W363,X363,Y363)</f>
        <v>-4</v>
      </c>
      <c r="AA363" s="1033">
        <v>-15</v>
      </c>
      <c r="AB363" s="927">
        <v>-5</v>
      </c>
      <c r="AC363" s="927">
        <v>-4</v>
      </c>
      <c r="AD363" s="927">
        <v>-5</v>
      </c>
      <c r="AE363" s="205">
        <f>AF363-SUM(AB363,AC363,AD363)</f>
        <v>-5</v>
      </c>
      <c r="AF363" s="1033">
        <v>-19</v>
      </c>
      <c r="AG363" s="927">
        <v>-5</v>
      </c>
      <c r="AH363" s="927">
        <v>-4</v>
      </c>
      <c r="AI363" s="927">
        <v>-3</v>
      </c>
      <c r="AJ363" s="205">
        <f>AK363-SUM(AG363,AH363,AI363)</f>
        <v>-7</v>
      </c>
      <c r="AK363" s="1033">
        <v>-19</v>
      </c>
      <c r="AL363" s="927">
        <v>-5</v>
      </c>
      <c r="AM363" s="927">
        <v>-1</v>
      </c>
      <c r="AN363" s="927">
        <v>-6</v>
      </c>
      <c r="AO363" s="205">
        <f>AP363-SUM(AL363,AM363,AN363)</f>
        <v>-7</v>
      </c>
      <c r="AP363" s="1033">
        <v>-19</v>
      </c>
      <c r="AQ363" s="927">
        <v>-5</v>
      </c>
      <c r="AR363" s="927">
        <v>-7</v>
      </c>
      <c r="AS363" s="927">
        <v>-5</v>
      </c>
      <c r="AT363" s="205">
        <f>AU363-SUM(AQ363,AR363,AS363)</f>
        <v>-10</v>
      </c>
      <c r="AU363" s="1033">
        <v>-27</v>
      </c>
      <c r="AV363" s="927">
        <v>-7</v>
      </c>
      <c r="AW363" s="927">
        <v>-4</v>
      </c>
      <c r="AX363" s="927">
        <v>-4</v>
      </c>
      <c r="AY363" s="205">
        <f>AZ363-SUM(AV363,AW363,AX363)</f>
        <v>-5</v>
      </c>
      <c r="AZ363" s="1033">
        <v>-20</v>
      </c>
      <c r="BA363" s="927">
        <v>-7</v>
      </c>
      <c r="BB363" s="927">
        <v>-1</v>
      </c>
      <c r="BC363" s="927">
        <v>-3</v>
      </c>
      <c r="BD363" s="927">
        <v>-12</v>
      </c>
      <c r="BE363" s="1033">
        <v>-22</v>
      </c>
      <c r="BF363" s="927">
        <v>-8</v>
      </c>
      <c r="BG363" s="927">
        <v>-5</v>
      </c>
      <c r="BH363" s="928">
        <v>-10</v>
      </c>
      <c r="BI363" s="205"/>
      <c r="BJ363" s="996"/>
      <c r="BK363" s="205"/>
      <c r="BL363" s="205"/>
      <c r="BM363" s="205"/>
      <c r="BN363" s="205"/>
      <c r="BO363" s="996"/>
      <c r="BP363" s="996"/>
      <c r="BQ363" s="996"/>
      <c r="BR363" s="996"/>
      <c r="BS363" s="833"/>
    </row>
    <row r="364" spans="1:71" s="24" customFormat="1" ht="15" hidden="1" outlineLevel="1">
      <c r="A364" s="191" t="s">
        <v>122</v>
      </c>
      <c r="B364" s="486"/>
      <c r="C364" s="997">
        <f t="shared" si="713" ref="C364:AM364">SUM(C361:C363)</f>
        <v>3593</v>
      </c>
      <c r="D364" s="997">
        <f t="shared" si="713"/>
        <v>3188</v>
      </c>
      <c r="E364" s="997">
        <f t="shared" si="713"/>
        <v>1414</v>
      </c>
      <c r="F364" s="997">
        <f t="shared" si="713"/>
        <v>2454</v>
      </c>
      <c r="G364" s="997">
        <f t="shared" si="713"/>
        <v>3646</v>
      </c>
      <c r="H364" s="193">
        <f t="shared" si="713"/>
        <v>1045</v>
      </c>
      <c r="I364" s="193">
        <f t="shared" si="713"/>
        <v>678</v>
      </c>
      <c r="J364" s="193">
        <f t="shared" si="713"/>
        <v>912</v>
      </c>
      <c r="K364" s="193">
        <f t="shared" si="713"/>
        <v>1030</v>
      </c>
      <c r="L364" s="997">
        <f t="shared" si="713"/>
        <v>3665</v>
      </c>
      <c r="M364" s="193">
        <f t="shared" si="713"/>
        <v>827</v>
      </c>
      <c r="N364" s="193">
        <f t="shared" si="713"/>
        <v>806</v>
      </c>
      <c r="O364" s="193">
        <f t="shared" si="713"/>
        <v>922</v>
      </c>
      <c r="P364" s="193">
        <f t="shared" si="713"/>
        <v>859</v>
      </c>
      <c r="Q364" s="997">
        <f t="shared" si="713"/>
        <v>3414</v>
      </c>
      <c r="R364" s="193">
        <f t="shared" si="713"/>
        <v>686</v>
      </c>
      <c r="S364" s="193">
        <f t="shared" si="713"/>
        <v>659</v>
      </c>
      <c r="T364" s="193">
        <f t="shared" si="713"/>
        <v>710</v>
      </c>
      <c r="U364" s="193">
        <f t="shared" si="713"/>
        <v>937</v>
      </c>
      <c r="V364" s="997">
        <f t="shared" si="713"/>
        <v>2992</v>
      </c>
      <c r="W364" s="194">
        <f t="shared" si="713"/>
        <v>613</v>
      </c>
      <c r="X364" s="193">
        <f t="shared" si="713"/>
        <v>590</v>
      </c>
      <c r="Y364" s="193">
        <f t="shared" si="713"/>
        <v>291</v>
      </c>
      <c r="Z364" s="193">
        <f t="shared" si="713"/>
        <v>547</v>
      </c>
      <c r="AA364" s="997">
        <f t="shared" si="713"/>
        <v>2041</v>
      </c>
      <c r="AB364" s="194">
        <f t="shared" si="713"/>
        <v>664</v>
      </c>
      <c r="AC364" s="193">
        <f t="shared" si="713"/>
        <v>520</v>
      </c>
      <c r="AD364" s="193">
        <f t="shared" si="713"/>
        <v>704</v>
      </c>
      <c r="AE364" s="193">
        <f t="shared" si="713"/>
        <v>616</v>
      </c>
      <c r="AF364" s="997">
        <f t="shared" si="713"/>
        <v>2504</v>
      </c>
      <c r="AG364" s="194">
        <f t="shared" si="713"/>
        <v>791</v>
      </c>
      <c r="AH364" s="193">
        <f t="shared" si="713"/>
        <v>553</v>
      </c>
      <c r="AI364" s="193">
        <f t="shared" si="713"/>
        <v>393</v>
      </c>
      <c r="AJ364" s="193">
        <f t="shared" si="713"/>
        <v>866</v>
      </c>
      <c r="AK364" s="997">
        <f t="shared" si="713"/>
        <v>2603</v>
      </c>
      <c r="AL364" s="194">
        <f t="shared" si="713"/>
        <v>595</v>
      </c>
      <c r="AM364" s="193">
        <f t="shared" si="713"/>
        <v>-41</v>
      </c>
      <c r="AN364" s="193">
        <f>SUM(AN361:AN363)</f>
        <v>821</v>
      </c>
      <c r="AO364" s="193">
        <f t="shared" si="714" ref="AO364:AP364">SUM(AO361:AO363)</f>
        <v>1303</v>
      </c>
      <c r="AP364" s="997">
        <f t="shared" si="714"/>
        <v>2678</v>
      </c>
      <c r="AQ364" s="194">
        <f t="shared" si="715" ref="AQ364">SUM(AQ361:AQ363)</f>
        <v>728</v>
      </c>
      <c r="AR364" s="193">
        <f t="shared" si="716" ref="AR364:AW364">SUM(AR361:AR363)</f>
        <v>927</v>
      </c>
      <c r="AS364" s="193">
        <f t="shared" si="716"/>
        <v>657</v>
      </c>
      <c r="AT364" s="193">
        <f t="shared" si="716"/>
        <v>1323</v>
      </c>
      <c r="AU364" s="997">
        <f t="shared" si="716"/>
        <v>3635</v>
      </c>
      <c r="AV364" s="194">
        <f t="shared" si="716"/>
        <v>1011</v>
      </c>
      <c r="AW364" s="193">
        <f t="shared" si="716"/>
        <v>547</v>
      </c>
      <c r="AX364" s="193">
        <f t="shared" si="717" ref="AX364:BA364">SUM(AX361:AX363)</f>
        <v>450</v>
      </c>
      <c r="AY364" s="193">
        <f t="shared" si="717"/>
        <v>814</v>
      </c>
      <c r="AZ364" s="997">
        <f t="shared" si="717"/>
        <v>2822</v>
      </c>
      <c r="BA364" s="194">
        <f t="shared" si="717"/>
        <v>968</v>
      </c>
      <c r="BB364" s="193">
        <f t="shared" si="718" ref="BB364:BC364">SUM(BB361:BB363)</f>
        <v>-15</v>
      </c>
      <c r="BC364" s="185">
        <f t="shared" si="718"/>
        <v>401</v>
      </c>
      <c r="BD364" s="185">
        <f>SUM(BD361:BD363)</f>
        <v>1614</v>
      </c>
      <c r="BE364" s="1008">
        <f>SUM(BE361:BE363)</f>
        <v>2969</v>
      </c>
      <c r="BF364" s="199">
        <f>SUM(BF361:BF363)</f>
        <v>1115</v>
      </c>
      <c r="BG364" s="193">
        <f>SUM(BG361:BG363)</f>
        <v>529</v>
      </c>
      <c r="BH364" s="749">
        <f>SUM(BH361:BH363)</f>
        <v>1250</v>
      </c>
      <c r="BI364" s="194"/>
      <c r="BJ364" s="998"/>
      <c r="BK364" s="194"/>
      <c r="BL364" s="194"/>
      <c r="BM364" s="194"/>
      <c r="BN364" s="194"/>
      <c r="BO364" s="998"/>
      <c r="BP364" s="998"/>
      <c r="BQ364" s="998"/>
      <c r="BR364" s="998"/>
      <c r="BS364" s="833"/>
    </row>
    <row r="365" spans="1:71" s="24" customFormat="1" ht="15" hidden="1" outlineLevel="1">
      <c r="A365" s="264" t="s">
        <v>123</v>
      </c>
      <c r="B365" s="485"/>
      <c r="C365" s="1032">
        <v>3</v>
      </c>
      <c r="D365" s="1032">
        <v>3</v>
      </c>
      <c r="E365" s="1032">
        <v>1</v>
      </c>
      <c r="F365" s="994"/>
      <c r="G365" s="994"/>
      <c r="H365" s="210"/>
      <c r="I365" s="210"/>
      <c r="J365" s="210"/>
      <c r="K365" s="210"/>
      <c r="L365" s="994"/>
      <c r="M365" s="210"/>
      <c r="N365" s="210"/>
      <c r="O365" s="210"/>
      <c r="P365" s="210"/>
      <c r="Q365" s="994"/>
      <c r="R365" s="210"/>
      <c r="S365" s="210"/>
      <c r="T365" s="210"/>
      <c r="U365" s="210"/>
      <c r="V365" s="994"/>
      <c r="W365" s="210"/>
      <c r="X365" s="210"/>
      <c r="Y365" s="210"/>
      <c r="Z365" s="210"/>
      <c r="AA365" s="994"/>
      <c r="AB365" s="210"/>
      <c r="AC365" s="210"/>
      <c r="AD365" s="210"/>
      <c r="AE365" s="210"/>
      <c r="AF365" s="994"/>
      <c r="AG365" s="210"/>
      <c r="AH365" s="210"/>
      <c r="AI365" s="210"/>
      <c r="AJ365" s="210"/>
      <c r="AK365" s="994"/>
      <c r="AL365" s="210"/>
      <c r="AM365" s="210"/>
      <c r="AN365" s="210"/>
      <c r="AO365" s="210"/>
      <c r="AP365" s="994"/>
      <c r="AQ365" s="210"/>
      <c r="AR365" s="210"/>
      <c r="AS365" s="210"/>
      <c r="AT365" s="210"/>
      <c r="AU365" s="994"/>
      <c r="AV365" s="210"/>
      <c r="AW365" s="210"/>
      <c r="AX365" s="210"/>
      <c r="AY365" s="210"/>
      <c r="AZ365" s="994"/>
      <c r="BA365" s="210"/>
      <c r="BB365" s="210"/>
      <c r="BC365" s="210"/>
      <c r="BD365" s="210"/>
      <c r="BE365" s="994"/>
      <c r="BF365" s="210"/>
      <c r="BG365" s="210"/>
      <c r="BH365" s="553"/>
      <c r="BI365" s="210"/>
      <c r="BJ365" s="994"/>
      <c r="BK365" s="210"/>
      <c r="BL365" s="210"/>
      <c r="BM365" s="210"/>
      <c r="BN365" s="210"/>
      <c r="BO365" s="994"/>
      <c r="BP365" s="994"/>
      <c r="BQ365" s="994"/>
      <c r="BR365" s="994"/>
      <c r="BS365" s="833"/>
    </row>
    <row r="366" spans="1:71" s="24" customFormat="1" ht="15" hidden="1" outlineLevel="1">
      <c r="A366" s="264" t="s">
        <v>124</v>
      </c>
      <c r="B366" s="485"/>
      <c r="C366" s="1032">
        <v>2</v>
      </c>
      <c r="D366" s="1032">
        <v>2</v>
      </c>
      <c r="E366" s="994"/>
      <c r="F366" s="994"/>
      <c r="G366" s="994"/>
      <c r="H366" s="210"/>
      <c r="I366" s="210"/>
      <c r="J366" s="210"/>
      <c r="K366" s="210"/>
      <c r="L366" s="994"/>
      <c r="M366" s="210"/>
      <c r="N366" s="210"/>
      <c r="O366" s="210"/>
      <c r="P366" s="210"/>
      <c r="Q366" s="994"/>
      <c r="R366" s="210"/>
      <c r="S366" s="210"/>
      <c r="T366" s="210"/>
      <c r="U366" s="210"/>
      <c r="V366" s="994"/>
      <c r="W366" s="210"/>
      <c r="X366" s="210"/>
      <c r="Y366" s="210"/>
      <c r="Z366" s="210"/>
      <c r="AA366" s="994"/>
      <c r="AB366" s="210"/>
      <c r="AC366" s="210"/>
      <c r="AD366" s="210"/>
      <c r="AE366" s="210"/>
      <c r="AF366" s="994"/>
      <c r="AG366" s="210"/>
      <c r="AH366" s="210"/>
      <c r="AI366" s="210"/>
      <c r="AJ366" s="210"/>
      <c r="AK366" s="994"/>
      <c r="AL366" s="210"/>
      <c r="AM366" s="210"/>
      <c r="AN366" s="210"/>
      <c r="AO366" s="210"/>
      <c r="AP366" s="994"/>
      <c r="AQ366" s="210"/>
      <c r="AR366" s="210"/>
      <c r="AS366" s="210"/>
      <c r="AT366" s="210"/>
      <c r="AU366" s="994"/>
      <c r="AV366" s="210"/>
      <c r="AW366" s="210"/>
      <c r="AX366" s="210"/>
      <c r="AY366" s="210"/>
      <c r="AZ366" s="994"/>
      <c r="BA366" s="210"/>
      <c r="BB366" s="210"/>
      <c r="BC366" s="210"/>
      <c r="BD366" s="210"/>
      <c r="BE366" s="994"/>
      <c r="BF366" s="210"/>
      <c r="BG366" s="210"/>
      <c r="BH366" s="553"/>
      <c r="BI366" s="210"/>
      <c r="BJ366" s="994"/>
      <c r="BK366" s="210"/>
      <c r="BL366" s="210"/>
      <c r="BM366" s="210"/>
      <c r="BN366" s="210"/>
      <c r="BO366" s="994"/>
      <c r="BP366" s="994"/>
      <c r="BQ366" s="994"/>
      <c r="BR366" s="994"/>
      <c r="BS366" s="833"/>
    </row>
    <row r="367" spans="1:71" s="24" customFormat="1" ht="15" hidden="1" outlineLevel="1">
      <c r="A367" s="209" t="s">
        <v>125</v>
      </c>
      <c r="B367" s="465"/>
      <c r="C367" s="1033">
        <v>1</v>
      </c>
      <c r="D367" s="996"/>
      <c r="E367" s="996"/>
      <c r="F367" s="996"/>
      <c r="G367" s="996"/>
      <c r="H367" s="205"/>
      <c r="I367" s="205"/>
      <c r="J367" s="205"/>
      <c r="K367" s="205"/>
      <c r="L367" s="996"/>
      <c r="M367" s="205"/>
      <c r="N367" s="205"/>
      <c r="O367" s="205"/>
      <c r="P367" s="205"/>
      <c r="Q367" s="996"/>
      <c r="R367" s="205"/>
      <c r="S367" s="205"/>
      <c r="T367" s="205"/>
      <c r="U367" s="205"/>
      <c r="V367" s="996"/>
      <c r="W367" s="205"/>
      <c r="X367" s="205"/>
      <c r="Y367" s="205"/>
      <c r="Z367" s="205"/>
      <c r="AA367" s="996"/>
      <c r="AB367" s="205"/>
      <c r="AC367" s="205"/>
      <c r="AD367" s="205"/>
      <c r="AE367" s="205"/>
      <c r="AF367" s="996"/>
      <c r="AG367" s="205"/>
      <c r="AH367" s="205"/>
      <c r="AI367" s="205"/>
      <c r="AJ367" s="205"/>
      <c r="AK367" s="996"/>
      <c r="AL367" s="205"/>
      <c r="AM367" s="205"/>
      <c r="AN367" s="205"/>
      <c r="AO367" s="205"/>
      <c r="AP367" s="996"/>
      <c r="AQ367" s="205"/>
      <c r="AR367" s="205"/>
      <c r="AS367" s="205"/>
      <c r="AT367" s="205"/>
      <c r="AU367" s="996"/>
      <c r="AV367" s="205"/>
      <c r="AW367" s="205"/>
      <c r="AX367" s="205"/>
      <c r="AY367" s="205"/>
      <c r="AZ367" s="996"/>
      <c r="BA367" s="205"/>
      <c r="BB367" s="205"/>
      <c r="BC367" s="205"/>
      <c r="BD367" s="205"/>
      <c r="BE367" s="996"/>
      <c r="BF367" s="205"/>
      <c r="BG367" s="205"/>
      <c r="BH367" s="658"/>
      <c r="BI367" s="205"/>
      <c r="BJ367" s="996"/>
      <c r="BK367" s="205"/>
      <c r="BL367" s="205"/>
      <c r="BM367" s="205"/>
      <c r="BN367" s="205"/>
      <c r="BO367" s="996"/>
      <c r="BP367" s="996"/>
      <c r="BQ367" s="996"/>
      <c r="BR367" s="996"/>
      <c r="BS367" s="833"/>
    </row>
    <row r="368" spans="1:71" s="24" customFormat="1" ht="15" hidden="1" outlineLevel="1">
      <c r="A368" s="191" t="s">
        <v>126</v>
      </c>
      <c r="B368" s="486"/>
      <c r="C368" s="997">
        <f t="shared" si="719" ref="C368:AM368">SUM(C364:C367)</f>
        <v>3599</v>
      </c>
      <c r="D368" s="997">
        <f t="shared" si="719"/>
        <v>3193</v>
      </c>
      <c r="E368" s="997">
        <f t="shared" si="719"/>
        <v>1415</v>
      </c>
      <c r="F368" s="997">
        <f t="shared" si="719"/>
        <v>2454</v>
      </c>
      <c r="G368" s="997">
        <f t="shared" si="719"/>
        <v>3646</v>
      </c>
      <c r="H368" s="193">
        <f t="shared" si="719"/>
        <v>1045</v>
      </c>
      <c r="I368" s="193">
        <f t="shared" si="719"/>
        <v>678</v>
      </c>
      <c r="J368" s="193">
        <f t="shared" si="719"/>
        <v>912</v>
      </c>
      <c r="K368" s="193">
        <f t="shared" si="719"/>
        <v>1030</v>
      </c>
      <c r="L368" s="997">
        <f t="shared" si="719"/>
        <v>3665</v>
      </c>
      <c r="M368" s="193">
        <f t="shared" si="719"/>
        <v>827</v>
      </c>
      <c r="N368" s="193">
        <f t="shared" si="719"/>
        <v>806</v>
      </c>
      <c r="O368" s="193">
        <f t="shared" si="719"/>
        <v>922</v>
      </c>
      <c r="P368" s="193">
        <f t="shared" si="719"/>
        <v>859</v>
      </c>
      <c r="Q368" s="997">
        <f t="shared" si="719"/>
        <v>3414</v>
      </c>
      <c r="R368" s="193">
        <f t="shared" si="719"/>
        <v>686</v>
      </c>
      <c r="S368" s="193">
        <f t="shared" si="719"/>
        <v>659</v>
      </c>
      <c r="T368" s="193">
        <f t="shared" si="719"/>
        <v>710</v>
      </c>
      <c r="U368" s="193">
        <f t="shared" si="719"/>
        <v>937</v>
      </c>
      <c r="V368" s="997">
        <f t="shared" si="719"/>
        <v>2992</v>
      </c>
      <c r="W368" s="194">
        <f t="shared" si="719"/>
        <v>613</v>
      </c>
      <c r="X368" s="193">
        <f t="shared" si="719"/>
        <v>590</v>
      </c>
      <c r="Y368" s="193">
        <f t="shared" si="719"/>
        <v>291</v>
      </c>
      <c r="Z368" s="193">
        <f t="shared" si="719"/>
        <v>547</v>
      </c>
      <c r="AA368" s="997">
        <f t="shared" si="719"/>
        <v>2041</v>
      </c>
      <c r="AB368" s="194">
        <f t="shared" si="719"/>
        <v>664</v>
      </c>
      <c r="AC368" s="193">
        <f t="shared" si="719"/>
        <v>520</v>
      </c>
      <c r="AD368" s="193">
        <f t="shared" si="719"/>
        <v>704</v>
      </c>
      <c r="AE368" s="193">
        <f t="shared" si="719"/>
        <v>616</v>
      </c>
      <c r="AF368" s="997">
        <f t="shared" si="719"/>
        <v>2504</v>
      </c>
      <c r="AG368" s="194">
        <f t="shared" si="719"/>
        <v>791</v>
      </c>
      <c r="AH368" s="193">
        <f t="shared" si="719"/>
        <v>553</v>
      </c>
      <c r="AI368" s="193">
        <f t="shared" si="719"/>
        <v>393</v>
      </c>
      <c r="AJ368" s="193">
        <f t="shared" si="719"/>
        <v>866</v>
      </c>
      <c r="AK368" s="997">
        <f t="shared" si="719"/>
        <v>2603</v>
      </c>
      <c r="AL368" s="194">
        <f t="shared" si="719"/>
        <v>595</v>
      </c>
      <c r="AM368" s="193">
        <f t="shared" si="719"/>
        <v>-41</v>
      </c>
      <c r="AN368" s="193">
        <f>SUM(AN364:AN367)</f>
        <v>821</v>
      </c>
      <c r="AO368" s="193">
        <f t="shared" si="720" ref="AO368:AQ368">SUM(AO364:AO367)</f>
        <v>1303</v>
      </c>
      <c r="AP368" s="997">
        <f t="shared" si="720"/>
        <v>2678</v>
      </c>
      <c r="AQ368" s="194">
        <f t="shared" si="720"/>
        <v>728</v>
      </c>
      <c r="AR368" s="193">
        <f t="shared" si="721" ref="AR368:AW368">SUM(AR364:AR367)</f>
        <v>927</v>
      </c>
      <c r="AS368" s="193">
        <f t="shared" si="721"/>
        <v>657</v>
      </c>
      <c r="AT368" s="193">
        <f t="shared" si="721"/>
        <v>1323</v>
      </c>
      <c r="AU368" s="997">
        <f t="shared" si="721"/>
        <v>3635</v>
      </c>
      <c r="AV368" s="194">
        <f t="shared" si="721"/>
        <v>1011</v>
      </c>
      <c r="AW368" s="193">
        <f t="shared" si="721"/>
        <v>547</v>
      </c>
      <c r="AX368" s="193">
        <f t="shared" si="722" ref="AX368:BC368">SUM(AX364:AX367)</f>
        <v>450</v>
      </c>
      <c r="AY368" s="193">
        <f t="shared" si="722"/>
        <v>814</v>
      </c>
      <c r="AZ368" s="997">
        <f t="shared" si="722"/>
        <v>2822</v>
      </c>
      <c r="BA368" s="194">
        <f t="shared" si="722"/>
        <v>968</v>
      </c>
      <c r="BB368" s="193">
        <f t="shared" si="722"/>
        <v>-15</v>
      </c>
      <c r="BC368" s="193">
        <f t="shared" si="722"/>
        <v>401</v>
      </c>
      <c r="BD368" s="193">
        <f>SUM(BD364:BD367)</f>
        <v>1614</v>
      </c>
      <c r="BE368" s="997">
        <f>SUM(BE364:BE367)</f>
        <v>2969</v>
      </c>
      <c r="BF368" s="194">
        <f>SUM(BF364:BF367)</f>
        <v>1115</v>
      </c>
      <c r="BG368" s="193">
        <f>SUM(BG364:BG367)</f>
        <v>529</v>
      </c>
      <c r="BH368" s="747">
        <f>SUM(BH364:BH367)</f>
        <v>1250</v>
      </c>
      <c r="BI368" s="194"/>
      <c r="BJ368" s="998"/>
      <c r="BK368" s="194"/>
      <c r="BL368" s="194"/>
      <c r="BM368" s="194"/>
      <c r="BN368" s="194"/>
      <c r="BO368" s="998"/>
      <c r="BP368" s="998"/>
      <c r="BQ368" s="998"/>
      <c r="BR368" s="998"/>
      <c r="BS368" s="833"/>
    </row>
    <row r="369" spans="1:71" s="24" customFormat="1" ht="15" hidden="1" outlineLevel="1">
      <c r="A369" s="477"/>
      <c r="B369" s="463"/>
      <c r="C369" s="1009"/>
      <c r="D369" s="1009"/>
      <c r="E369" s="1009"/>
      <c r="F369" s="1009"/>
      <c r="G369" s="1009"/>
      <c r="H369" s="199"/>
      <c r="I369" s="199"/>
      <c r="J369" s="199"/>
      <c r="K369" s="199"/>
      <c r="L369" s="1009"/>
      <c r="M369" s="199"/>
      <c r="N369" s="199"/>
      <c r="O369" s="199"/>
      <c r="P369" s="199"/>
      <c r="Q369" s="1009"/>
      <c r="R369" s="199"/>
      <c r="S369" s="199"/>
      <c r="T369" s="199"/>
      <c r="U369" s="199"/>
      <c r="V369" s="1009"/>
      <c r="W369" s="199"/>
      <c r="X369" s="199"/>
      <c r="Y369" s="199"/>
      <c r="Z369" s="199"/>
      <c r="AA369" s="1009"/>
      <c r="AB369" s="199"/>
      <c r="AC369" s="199"/>
      <c r="AD369" s="199"/>
      <c r="AE369" s="199"/>
      <c r="AF369" s="1009"/>
      <c r="AG369" s="199"/>
      <c r="AH369" s="199"/>
      <c r="AI369" s="199"/>
      <c r="AJ369" s="199"/>
      <c r="AK369" s="1009"/>
      <c r="AL369" s="199"/>
      <c r="AM369" s="199"/>
      <c r="AN369" s="199"/>
      <c r="AO369" s="199"/>
      <c r="AP369" s="1009"/>
      <c r="AQ369" s="199"/>
      <c r="AR369" s="199"/>
      <c r="AS369" s="199"/>
      <c r="AT369" s="199"/>
      <c r="AU369" s="1009"/>
      <c r="AV369" s="199"/>
      <c r="AW369" s="199"/>
      <c r="AX369" s="199"/>
      <c r="AY369" s="199"/>
      <c r="AZ369" s="1009"/>
      <c r="BA369" s="199"/>
      <c r="BB369" s="199"/>
      <c r="BC369" s="199"/>
      <c r="BD369" s="199"/>
      <c r="BE369" s="1009"/>
      <c r="BF369" s="199"/>
      <c r="BG369" s="199"/>
      <c r="BH369" s="554"/>
      <c r="BI369" s="199"/>
      <c r="BJ369" s="1009"/>
      <c r="BK369" s="199"/>
      <c r="BL369" s="199"/>
      <c r="BM369" s="199"/>
      <c r="BN369" s="199"/>
      <c r="BO369" s="1009"/>
      <c r="BP369" s="1009"/>
      <c r="BQ369" s="1009"/>
      <c r="BR369" s="1009"/>
      <c r="BS369" s="833"/>
    </row>
    <row r="370" spans="1:71" s="24" customFormat="1" ht="15" hidden="1" outlineLevel="1">
      <c r="A370" s="197" t="s">
        <v>117</v>
      </c>
      <c r="B370" s="463"/>
      <c r="C370" s="1008">
        <f t="shared" si="723" ref="C370:AM370">C356</f>
        <v>3622</v>
      </c>
      <c r="D370" s="1008">
        <f t="shared" si="723"/>
        <v>3216</v>
      </c>
      <c r="E370" s="1008">
        <f t="shared" si="723"/>
        <v>1426</v>
      </c>
      <c r="F370" s="1008">
        <f t="shared" si="723"/>
        <v>2473</v>
      </c>
      <c r="G370" s="1008">
        <f t="shared" si="723"/>
        <v>3673</v>
      </c>
      <c r="H370" s="185">
        <f t="shared" si="723"/>
        <v>1052</v>
      </c>
      <c r="I370" s="185">
        <f t="shared" si="723"/>
        <v>683</v>
      </c>
      <c r="J370" s="185">
        <f t="shared" si="723"/>
        <v>919</v>
      </c>
      <c r="K370" s="185">
        <f t="shared" si="723"/>
        <v>1038</v>
      </c>
      <c r="L370" s="1008">
        <f t="shared" si="723"/>
        <v>3692</v>
      </c>
      <c r="M370" s="185">
        <f t="shared" si="723"/>
        <v>833</v>
      </c>
      <c r="N370" s="185">
        <f t="shared" si="723"/>
        <v>812</v>
      </c>
      <c r="O370" s="185">
        <f t="shared" si="723"/>
        <v>928</v>
      </c>
      <c r="P370" s="185">
        <f t="shared" si="723"/>
        <v>866</v>
      </c>
      <c r="Q370" s="1008">
        <f t="shared" si="723"/>
        <v>3439</v>
      </c>
      <c r="R370" s="185">
        <f t="shared" si="723"/>
        <v>691</v>
      </c>
      <c r="S370" s="185">
        <f t="shared" si="723"/>
        <v>664</v>
      </c>
      <c r="T370" s="185">
        <f t="shared" si="723"/>
        <v>716</v>
      </c>
      <c r="U370" s="185">
        <f t="shared" si="723"/>
        <v>943</v>
      </c>
      <c r="V370" s="1008">
        <f t="shared" si="723"/>
        <v>3014</v>
      </c>
      <c r="W370" s="185">
        <f t="shared" si="723"/>
        <v>617</v>
      </c>
      <c r="X370" s="185">
        <f t="shared" si="723"/>
        <v>595</v>
      </c>
      <c r="Y370" s="185">
        <f t="shared" si="723"/>
        <v>293</v>
      </c>
      <c r="Z370" s="185">
        <f t="shared" si="723"/>
        <v>551</v>
      </c>
      <c r="AA370" s="1008">
        <f t="shared" si="723"/>
        <v>2056</v>
      </c>
      <c r="AB370" s="185">
        <f t="shared" si="723"/>
        <v>669</v>
      </c>
      <c r="AC370" s="185">
        <f t="shared" si="723"/>
        <v>524</v>
      </c>
      <c r="AD370" s="185">
        <f t="shared" si="723"/>
        <v>709</v>
      </c>
      <c r="AE370" s="185">
        <f t="shared" si="723"/>
        <v>621</v>
      </c>
      <c r="AF370" s="1008">
        <f t="shared" si="723"/>
        <v>2523</v>
      </c>
      <c r="AG370" s="185">
        <f t="shared" si="723"/>
        <v>796</v>
      </c>
      <c r="AH370" s="185">
        <f t="shared" si="723"/>
        <v>557</v>
      </c>
      <c r="AI370" s="185">
        <f t="shared" si="723"/>
        <v>396</v>
      </c>
      <c r="AJ370" s="185">
        <f t="shared" si="723"/>
        <v>873</v>
      </c>
      <c r="AK370" s="1008">
        <f t="shared" si="723"/>
        <v>2622</v>
      </c>
      <c r="AL370" s="185">
        <f t="shared" si="723"/>
        <v>600</v>
      </c>
      <c r="AM370" s="185">
        <f t="shared" si="723"/>
        <v>-40</v>
      </c>
      <c r="AN370" s="185">
        <f>AN356</f>
        <v>827</v>
      </c>
      <c r="AO370" s="185">
        <f t="shared" si="724" ref="AO370:AQ370">AO356</f>
        <v>1310</v>
      </c>
      <c r="AP370" s="1008">
        <f t="shared" si="724"/>
        <v>2697</v>
      </c>
      <c r="AQ370" s="185">
        <f t="shared" si="724"/>
        <v>733</v>
      </c>
      <c r="AR370" s="185">
        <f t="shared" si="725" ref="AR370:AW370">AR356</f>
        <v>934</v>
      </c>
      <c r="AS370" s="185">
        <f t="shared" si="725"/>
        <v>662</v>
      </c>
      <c r="AT370" s="185">
        <f t="shared" si="725"/>
        <v>1333</v>
      </c>
      <c r="AU370" s="1008">
        <f t="shared" si="725"/>
        <v>3662</v>
      </c>
      <c r="AV370" s="185">
        <f t="shared" si="725"/>
        <v>1018</v>
      </c>
      <c r="AW370" s="185">
        <f t="shared" si="725"/>
        <v>551</v>
      </c>
      <c r="AX370" s="185">
        <f t="shared" si="726" ref="AX370:BC370">AX356</f>
        <v>454</v>
      </c>
      <c r="AY370" s="185">
        <f t="shared" si="726"/>
        <v>819</v>
      </c>
      <c r="AZ370" s="1008">
        <f t="shared" si="726"/>
        <v>2842</v>
      </c>
      <c r="BA370" s="185">
        <f t="shared" si="726"/>
        <v>975</v>
      </c>
      <c r="BB370" s="185">
        <f t="shared" si="726"/>
        <v>-14</v>
      </c>
      <c r="BC370" s="185">
        <f t="shared" si="726"/>
        <v>404</v>
      </c>
      <c r="BD370" s="185">
        <f>BD356</f>
        <v>1626</v>
      </c>
      <c r="BE370" s="1008">
        <f>BE356</f>
        <v>2991</v>
      </c>
      <c r="BF370" s="185">
        <f>BF356</f>
        <v>1123</v>
      </c>
      <c r="BG370" s="185">
        <f>BG356</f>
        <v>534</v>
      </c>
      <c r="BH370" s="749">
        <f>BH356</f>
        <v>1260</v>
      </c>
      <c r="BI370" s="199">
        <f>BI405</f>
        <v>1449.3530970300685</v>
      </c>
      <c r="BJ370" s="1009">
        <f t="shared" si="727" ref="BJ370">BJ405</f>
        <v>4366.3530970300617</v>
      </c>
      <c r="BK370" s="199">
        <f t="shared" si="728" ref="BK370:BR370">BK405</f>
        <v>1301.7626772224119</v>
      </c>
      <c r="BL370" s="199">
        <f t="shared" si="728"/>
        <v>884.09699517122965</v>
      </c>
      <c r="BM370" s="199">
        <f t="shared" si="728"/>
        <v>1078.1874870455722</v>
      </c>
      <c r="BN370" s="199">
        <f t="shared" si="728"/>
        <v>1521.8357756470418</v>
      </c>
      <c r="BO370" s="1009">
        <f t="shared" si="728"/>
        <v>4785.8829350862425</v>
      </c>
      <c r="BP370" s="1009">
        <f t="shared" si="728"/>
        <v>5252.8451105356808</v>
      </c>
      <c r="BQ370" s="1009">
        <f t="shared" si="728"/>
        <v>5642.7033276620832</v>
      </c>
      <c r="BR370" s="1009">
        <f t="shared" si="728"/>
        <v>5145.8457754215715</v>
      </c>
      <c r="BS370" s="833"/>
    </row>
    <row r="371" spans="1:71" s="24" customFormat="1" ht="15" hidden="1" outlineLevel="1">
      <c r="A371" s="264" t="s">
        <v>600</v>
      </c>
      <c r="B371" s="485"/>
      <c r="C371" s="1032">
        <v>-22</v>
      </c>
      <c r="D371" s="1032">
        <v>-173</v>
      </c>
      <c r="E371" s="1032">
        <v>-36</v>
      </c>
      <c r="F371" s="1032">
        <v>-32</v>
      </c>
      <c r="G371" s="1032">
        <v>-106</v>
      </c>
      <c r="H371" s="924">
        <v>0</v>
      </c>
      <c r="I371" s="924">
        <v>-10</v>
      </c>
      <c r="J371" s="924">
        <v>-26</v>
      </c>
      <c r="K371" s="924">
        <v>-15</v>
      </c>
      <c r="L371" s="1032">
        <v>-51</v>
      </c>
      <c r="M371" s="924">
        <v>-6</v>
      </c>
      <c r="N371" s="924">
        <v>-6</v>
      </c>
      <c r="O371" s="924">
        <v>-10</v>
      </c>
      <c r="P371" s="924">
        <v>20</v>
      </c>
      <c r="Q371" s="1032">
        <v>-2</v>
      </c>
      <c r="R371" s="924">
        <v>7</v>
      </c>
      <c r="S371" s="924">
        <v>-15</v>
      </c>
      <c r="T371" s="924">
        <v>-15</v>
      </c>
      <c r="U371" s="924">
        <v>-24</v>
      </c>
      <c r="V371" s="1032">
        <v>-47</v>
      </c>
      <c r="W371" s="924">
        <v>-3</v>
      </c>
      <c r="X371" s="924">
        <v>-52</v>
      </c>
      <c r="Y371" s="924">
        <v>-40</v>
      </c>
      <c r="Z371" s="924">
        <v>-47</v>
      </c>
      <c r="AA371" s="1032">
        <v>-142</v>
      </c>
      <c r="AB371" s="924">
        <v>9</v>
      </c>
      <c r="AC371" s="924">
        <v>-30</v>
      </c>
      <c r="AD371" s="924">
        <v>-22</v>
      </c>
      <c r="AE371" s="924">
        <v>-50</v>
      </c>
      <c r="AF371" s="1032">
        <v>-93</v>
      </c>
      <c r="AG371" s="924">
        <v>-41</v>
      </c>
      <c r="AH371" s="924">
        <v>-20</v>
      </c>
      <c r="AI371" s="924">
        <v>-18</v>
      </c>
      <c r="AJ371" s="924">
        <v>-6</v>
      </c>
      <c r="AK371" s="1032">
        <v>-85</v>
      </c>
      <c r="AL371" s="924">
        <v>76</v>
      </c>
      <c r="AM371" s="924">
        <v>-10</v>
      </c>
      <c r="AN371" s="924">
        <v>-29</v>
      </c>
      <c r="AO371" s="924">
        <v>-48</v>
      </c>
      <c r="AP371" s="1032">
        <v>-11</v>
      </c>
      <c r="AQ371" s="924">
        <v>-34</v>
      </c>
      <c r="AR371" s="924">
        <v>-47</v>
      </c>
      <c r="AS371" s="924">
        <v>-7</v>
      </c>
      <c r="AT371" s="210">
        <f>AU371-SUM(AQ371,AR371,AS371)</f>
        <v>-44</v>
      </c>
      <c r="AU371" s="1032">
        <v>-132</v>
      </c>
      <c r="AV371" s="924">
        <v>19</v>
      </c>
      <c r="AW371" s="924">
        <v>74</v>
      </c>
      <c r="AX371" s="924">
        <v>72</v>
      </c>
      <c r="AY371" s="210">
        <f>AZ371-SUM(AV371,AW371,AX371)</f>
        <v>-9</v>
      </c>
      <c r="AZ371" s="1032">
        <v>156</v>
      </c>
      <c r="BA371" s="924">
        <v>-5</v>
      </c>
      <c r="BB371" s="924">
        <v>29</v>
      </c>
      <c r="BC371" s="924">
        <v>50</v>
      </c>
      <c r="BD371" s="210">
        <f>BE371-SUM(BA371,BB371,BC371)</f>
        <v>7</v>
      </c>
      <c r="BE371" s="1032">
        <v>81</v>
      </c>
      <c r="BF371" s="924">
        <v>-27</v>
      </c>
      <c r="BG371" s="924">
        <v>51</v>
      </c>
      <c r="BH371" s="925">
        <v>-42</v>
      </c>
      <c r="BI371" s="210">
        <f>-BI391*(1-BI417-BI418)</f>
        <v>-13.35</v>
      </c>
      <c r="BJ371" s="994">
        <f>SUM(BF371,BG371,BH371,BI371)</f>
        <v>-31.35</v>
      </c>
      <c r="BK371" s="210">
        <f>-BK391*(1-BK417-BK418)</f>
        <v>-13.35</v>
      </c>
      <c r="BL371" s="210">
        <f>-BL391*(1-BL417-BL418)</f>
        <v>-13.35</v>
      </c>
      <c r="BM371" s="210">
        <f>-BM391*(1-BM417-BM418)</f>
        <v>-12.60</v>
      </c>
      <c r="BN371" s="210">
        <f>-BN391*(1-BN417-BN418)</f>
        <v>-13.50</v>
      </c>
      <c r="BO371" s="994">
        <f>SUM(BK371,BL371,BM371,BN371)</f>
        <v>-52.80</v>
      </c>
      <c r="BP371" s="994">
        <f>-BP391*(1-BP417-BP418)</f>
        <v>-53.40</v>
      </c>
      <c r="BQ371" s="994">
        <f>-BQ391*(1-BQ417-BQ418)</f>
        <v>-49.499999999999986</v>
      </c>
      <c r="BR371" s="994">
        <f>-BR391*(1-BR417-BR418)</f>
        <v>-49.499999999999986</v>
      </c>
      <c r="BS371" s="833"/>
    </row>
    <row r="372" spans="1:71" s="24" customFormat="1" ht="15" hidden="1" outlineLevel="1">
      <c r="A372" s="215" t="s">
        <v>546</v>
      </c>
      <c r="B372" s="485"/>
      <c r="C372" s="994"/>
      <c r="D372" s="994"/>
      <c r="E372" s="994"/>
      <c r="F372" s="994"/>
      <c r="G372" s="994"/>
      <c r="H372" s="210"/>
      <c r="I372" s="210"/>
      <c r="J372" s="210"/>
      <c r="K372" s="210"/>
      <c r="L372" s="994"/>
      <c r="M372" s="210"/>
      <c r="N372" s="210"/>
      <c r="O372" s="210"/>
      <c r="P372" s="210"/>
      <c r="Q372" s="994"/>
      <c r="R372" s="210"/>
      <c r="S372" s="210"/>
      <c r="T372" s="210"/>
      <c r="U372" s="210"/>
      <c r="V372" s="994"/>
      <c r="W372" s="210"/>
      <c r="X372" s="210"/>
      <c r="Y372" s="210"/>
      <c r="Z372" s="210"/>
      <c r="AA372" s="994"/>
      <c r="AB372" s="210"/>
      <c r="AC372" s="210"/>
      <c r="AD372" s="210"/>
      <c r="AE372" s="210"/>
      <c r="AF372" s="994"/>
      <c r="AG372" s="210"/>
      <c r="AH372" s="210"/>
      <c r="AI372" s="210"/>
      <c r="AJ372" s="210"/>
      <c r="AK372" s="994"/>
      <c r="AL372" s="210"/>
      <c r="AM372" s="210"/>
      <c r="AN372" s="210"/>
      <c r="AO372" s="210"/>
      <c r="AP372" s="994"/>
      <c r="AQ372" s="210"/>
      <c r="AR372" s="924">
        <v>-8</v>
      </c>
      <c r="AS372" s="210"/>
      <c r="AT372" s="210"/>
      <c r="AU372" s="1032">
        <v>-8</v>
      </c>
      <c r="AV372" s="210"/>
      <c r="AW372" s="210"/>
      <c r="AX372" s="210"/>
      <c r="AY372" s="210"/>
      <c r="AZ372" s="1032">
        <v>0</v>
      </c>
      <c r="BA372" s="210"/>
      <c r="BB372" s="210"/>
      <c r="BC372" s="210"/>
      <c r="BD372" s="210"/>
      <c r="BE372" s="994"/>
      <c r="BF372" s="210"/>
      <c r="BG372" s="210"/>
      <c r="BH372" s="553"/>
      <c r="BI372" s="210"/>
      <c r="BJ372" s="994"/>
      <c r="BK372" s="210"/>
      <c r="BL372" s="210"/>
      <c r="BM372" s="210"/>
      <c r="BN372" s="210"/>
      <c r="BO372" s="994"/>
      <c r="BP372" s="994"/>
      <c r="BQ372" s="994"/>
      <c r="BR372" s="994"/>
      <c r="BS372" s="833"/>
    </row>
    <row r="373" spans="1:71" s="24" customFormat="1" ht="15" hidden="1" outlineLevel="1">
      <c r="A373" s="264" t="s">
        <v>129</v>
      </c>
      <c r="B373" s="485"/>
      <c r="C373" s="994"/>
      <c r="D373" s="994"/>
      <c r="E373" s="994"/>
      <c r="F373" s="994"/>
      <c r="G373" s="994"/>
      <c r="H373" s="210"/>
      <c r="I373" s="210"/>
      <c r="J373" s="210"/>
      <c r="K373" s="210"/>
      <c r="L373" s="994"/>
      <c r="M373" s="210"/>
      <c r="N373" s="210"/>
      <c r="O373" s="210"/>
      <c r="P373" s="210"/>
      <c r="Q373" s="994"/>
      <c r="R373" s="210"/>
      <c r="S373" s="210"/>
      <c r="T373" s="210"/>
      <c r="U373" s="210"/>
      <c r="V373" s="994"/>
      <c r="W373" s="210"/>
      <c r="X373" s="210"/>
      <c r="Y373" s="210"/>
      <c r="Z373" s="924">
        <v>129</v>
      </c>
      <c r="AA373" s="1032">
        <v>129</v>
      </c>
      <c r="AB373" s="210"/>
      <c r="AC373" s="210"/>
      <c r="AD373" s="210"/>
      <c r="AE373" s="210"/>
      <c r="AF373" s="994"/>
      <c r="AG373" s="210"/>
      <c r="AH373" s="210"/>
      <c r="AI373" s="210"/>
      <c r="AJ373" s="210"/>
      <c r="AK373" s="994"/>
      <c r="AL373" s="210"/>
      <c r="AM373" s="210"/>
      <c r="AN373" s="210"/>
      <c r="AO373" s="210"/>
      <c r="AP373" s="994"/>
      <c r="AQ373" s="210"/>
      <c r="AR373" s="210"/>
      <c r="AS373" s="210"/>
      <c r="AT373" s="210"/>
      <c r="AU373" s="994"/>
      <c r="AV373" s="210"/>
      <c r="AW373" s="210"/>
      <c r="AX373" s="210"/>
      <c r="AY373" s="210"/>
      <c r="AZ373" s="994"/>
      <c r="BA373" s="210"/>
      <c r="BB373" s="210"/>
      <c r="BC373" s="210"/>
      <c r="BD373" s="210"/>
      <c r="BE373" s="994"/>
      <c r="BF373" s="210"/>
      <c r="BG373" s="210"/>
      <c r="BH373" s="553"/>
      <c r="BI373" s="210"/>
      <c r="BJ373" s="994">
        <f>SUM(BF373,BG373,BH373,BI373)</f>
        <v>0</v>
      </c>
      <c r="BK373" s="210"/>
      <c r="BL373" s="210"/>
      <c r="BM373" s="210"/>
      <c r="BN373" s="210"/>
      <c r="BO373" s="994">
        <f>SUM(BK373,BL373,BM373,BN373)</f>
        <v>0</v>
      </c>
      <c r="BP373" s="994"/>
      <c r="BQ373" s="994"/>
      <c r="BR373" s="994"/>
      <c r="BS373" s="833"/>
    </row>
    <row r="374" spans="1:71" s="24" customFormat="1" ht="15" hidden="1" outlineLevel="1">
      <c r="A374" s="191" t="s">
        <v>363</v>
      </c>
      <c r="B374" s="486"/>
      <c r="C374" s="997">
        <f t="shared" si="729" ref="C374:AM374">SUM(C370:C373)</f>
        <v>3600</v>
      </c>
      <c r="D374" s="997">
        <f t="shared" si="729"/>
        <v>3043</v>
      </c>
      <c r="E374" s="997">
        <f t="shared" si="729"/>
        <v>1390</v>
      </c>
      <c r="F374" s="997">
        <f t="shared" si="729"/>
        <v>2441</v>
      </c>
      <c r="G374" s="997">
        <f t="shared" si="729"/>
        <v>3567</v>
      </c>
      <c r="H374" s="193">
        <f t="shared" si="729"/>
        <v>1052</v>
      </c>
      <c r="I374" s="193">
        <f t="shared" si="729"/>
        <v>673</v>
      </c>
      <c r="J374" s="193">
        <f t="shared" si="729"/>
        <v>893</v>
      </c>
      <c r="K374" s="193">
        <f t="shared" si="729"/>
        <v>1023</v>
      </c>
      <c r="L374" s="997">
        <f t="shared" si="729"/>
        <v>3641</v>
      </c>
      <c r="M374" s="193">
        <f t="shared" si="729"/>
        <v>827</v>
      </c>
      <c r="N374" s="193">
        <f t="shared" si="729"/>
        <v>806</v>
      </c>
      <c r="O374" s="193">
        <f t="shared" si="729"/>
        <v>918</v>
      </c>
      <c r="P374" s="193">
        <f t="shared" si="729"/>
        <v>886</v>
      </c>
      <c r="Q374" s="997">
        <f t="shared" si="729"/>
        <v>3437</v>
      </c>
      <c r="R374" s="193">
        <f t="shared" si="729"/>
        <v>698</v>
      </c>
      <c r="S374" s="193">
        <f t="shared" si="729"/>
        <v>649</v>
      </c>
      <c r="T374" s="193">
        <f t="shared" si="729"/>
        <v>701</v>
      </c>
      <c r="U374" s="193">
        <f t="shared" si="729"/>
        <v>919</v>
      </c>
      <c r="V374" s="997">
        <f t="shared" si="729"/>
        <v>2967</v>
      </c>
      <c r="W374" s="194">
        <f t="shared" si="729"/>
        <v>614</v>
      </c>
      <c r="X374" s="193">
        <f t="shared" si="729"/>
        <v>543</v>
      </c>
      <c r="Y374" s="193">
        <f t="shared" si="729"/>
        <v>253</v>
      </c>
      <c r="Z374" s="193">
        <f t="shared" si="729"/>
        <v>633</v>
      </c>
      <c r="AA374" s="997">
        <f t="shared" si="729"/>
        <v>2043</v>
      </c>
      <c r="AB374" s="194">
        <f t="shared" si="729"/>
        <v>678</v>
      </c>
      <c r="AC374" s="193">
        <f t="shared" si="729"/>
        <v>494</v>
      </c>
      <c r="AD374" s="193">
        <f t="shared" si="729"/>
        <v>687</v>
      </c>
      <c r="AE374" s="193">
        <f t="shared" si="729"/>
        <v>571</v>
      </c>
      <c r="AF374" s="997">
        <f t="shared" si="729"/>
        <v>2430</v>
      </c>
      <c r="AG374" s="194">
        <f t="shared" si="729"/>
        <v>755</v>
      </c>
      <c r="AH374" s="193">
        <f t="shared" si="729"/>
        <v>537</v>
      </c>
      <c r="AI374" s="193">
        <f t="shared" si="729"/>
        <v>378</v>
      </c>
      <c r="AJ374" s="193">
        <f t="shared" si="729"/>
        <v>867</v>
      </c>
      <c r="AK374" s="997">
        <f t="shared" si="729"/>
        <v>2537</v>
      </c>
      <c r="AL374" s="194">
        <f t="shared" si="729"/>
        <v>676</v>
      </c>
      <c r="AM374" s="193">
        <f t="shared" si="729"/>
        <v>-50</v>
      </c>
      <c r="AN374" s="193">
        <f>SUM(AN370:AN373)</f>
        <v>798</v>
      </c>
      <c r="AO374" s="193">
        <f t="shared" si="730" ref="AO374:AP374">SUM(AO370:AO373)</f>
        <v>1262</v>
      </c>
      <c r="AP374" s="997">
        <f t="shared" si="730"/>
        <v>2686</v>
      </c>
      <c r="AQ374" s="194">
        <f t="shared" si="731" ref="AQ374">SUM(AQ370:AQ373)</f>
        <v>699</v>
      </c>
      <c r="AR374" s="193">
        <f t="shared" si="732" ref="AR374:AW374">SUM(AR370:AR373)</f>
        <v>879</v>
      </c>
      <c r="AS374" s="193">
        <f t="shared" si="732"/>
        <v>655</v>
      </c>
      <c r="AT374" s="193">
        <f t="shared" si="732"/>
        <v>1289</v>
      </c>
      <c r="AU374" s="997">
        <f t="shared" si="732"/>
        <v>3522</v>
      </c>
      <c r="AV374" s="194">
        <f t="shared" si="732"/>
        <v>1037</v>
      </c>
      <c r="AW374" s="193">
        <f t="shared" si="732"/>
        <v>625</v>
      </c>
      <c r="AX374" s="193">
        <f t="shared" si="733" ref="AX374:BJ374">SUM(AX370:AX373)</f>
        <v>526</v>
      </c>
      <c r="AY374" s="193">
        <f t="shared" si="733"/>
        <v>810</v>
      </c>
      <c r="AZ374" s="997">
        <f t="shared" si="733"/>
        <v>2998</v>
      </c>
      <c r="BA374" s="194">
        <f t="shared" si="734" ref="BA374:BI374">SUM(BA370:BA373)</f>
        <v>970</v>
      </c>
      <c r="BB374" s="193">
        <f t="shared" si="734"/>
        <v>15</v>
      </c>
      <c r="BC374" s="193">
        <f t="shared" si="734"/>
        <v>454</v>
      </c>
      <c r="BD374" s="193">
        <f t="shared" si="734"/>
        <v>1633</v>
      </c>
      <c r="BE374" s="997">
        <f t="shared" si="734"/>
        <v>3072</v>
      </c>
      <c r="BF374" s="194">
        <f>SUM(BF370:BF373)</f>
        <v>1096</v>
      </c>
      <c r="BG374" s="193">
        <f>SUM(BG370:BG373)</f>
        <v>585</v>
      </c>
      <c r="BH374" s="747">
        <f>SUM(BH370:BH373)</f>
        <v>1218</v>
      </c>
      <c r="BI374" s="194">
        <f t="shared" si="734"/>
        <v>1436.0030970300686</v>
      </c>
      <c r="BJ374" s="998">
        <f t="shared" si="733"/>
        <v>4335.0030970300613</v>
      </c>
      <c r="BK374" s="194">
        <f t="shared" si="735" ref="BK374:BR374">SUM(BK370:BK373)</f>
        <v>1288.412677222412</v>
      </c>
      <c r="BL374" s="194">
        <f t="shared" si="735"/>
        <v>870.74699517122963</v>
      </c>
      <c r="BM374" s="194">
        <f t="shared" si="735"/>
        <v>1065.5874870455723</v>
      </c>
      <c r="BN374" s="194">
        <f t="shared" si="735"/>
        <v>1508.3357756470418</v>
      </c>
      <c r="BO374" s="998">
        <f t="shared" si="735"/>
        <v>4733.0829350862423</v>
      </c>
      <c r="BP374" s="998">
        <f t="shared" si="735"/>
        <v>5199.4451105356811</v>
      </c>
      <c r="BQ374" s="998">
        <f t="shared" si="735"/>
        <v>5593.2033276620832</v>
      </c>
      <c r="BR374" s="998">
        <f t="shared" si="735"/>
        <v>5096.3457754215715</v>
      </c>
      <c r="BS374" s="833"/>
    </row>
    <row r="375" spans="1:71" s="24" customFormat="1" ht="15" hidden="1" outlineLevel="1">
      <c r="A375" s="477"/>
      <c r="B375" s="463"/>
      <c r="C375" s="1009"/>
      <c r="D375" s="1009"/>
      <c r="E375" s="1009"/>
      <c r="F375" s="1009"/>
      <c r="G375" s="1009"/>
      <c r="H375" s="199"/>
      <c r="I375" s="199"/>
      <c r="J375" s="199"/>
      <c r="K375" s="199"/>
      <c r="L375" s="1009"/>
      <c r="M375" s="199"/>
      <c r="N375" s="199"/>
      <c r="O375" s="199"/>
      <c r="P375" s="199"/>
      <c r="Q375" s="1009"/>
      <c r="R375" s="199"/>
      <c r="S375" s="199"/>
      <c r="T375" s="199"/>
      <c r="U375" s="199"/>
      <c r="V375" s="1009"/>
      <c r="W375" s="199"/>
      <c r="X375" s="199"/>
      <c r="Y375" s="199"/>
      <c r="Z375" s="199"/>
      <c r="AA375" s="1009"/>
      <c r="AB375" s="199"/>
      <c r="AC375" s="199"/>
      <c r="AD375" s="199"/>
      <c r="AE375" s="199"/>
      <c r="AF375" s="1009"/>
      <c r="AG375" s="199"/>
      <c r="AH375" s="199"/>
      <c r="AI375" s="199"/>
      <c r="AJ375" s="199"/>
      <c r="AK375" s="1009"/>
      <c r="AL375" s="199"/>
      <c r="AM375" s="199"/>
      <c r="AN375" s="199"/>
      <c r="AO375" s="199"/>
      <c r="AP375" s="1009"/>
      <c r="AQ375" s="199"/>
      <c r="AR375" s="199"/>
      <c r="AS375" s="199"/>
      <c r="AT375" s="199"/>
      <c r="AU375" s="1009"/>
      <c r="AV375" s="199"/>
      <c r="AW375" s="199"/>
      <c r="AX375" s="199"/>
      <c r="AY375" s="199"/>
      <c r="AZ375" s="1009"/>
      <c r="BA375" s="199"/>
      <c r="BB375" s="199"/>
      <c r="BC375" s="199"/>
      <c r="BD375" s="199"/>
      <c r="BE375" s="1009"/>
      <c r="BF375" s="199"/>
      <c r="BG375" s="199"/>
      <c r="BH375" s="554"/>
      <c r="BI375" s="199"/>
      <c r="BJ375" s="1009"/>
      <c r="BK375" s="199"/>
      <c r="BL375" s="199"/>
      <c r="BM375" s="199"/>
      <c r="BN375" s="199"/>
      <c r="BO375" s="1009"/>
      <c r="BP375" s="1009"/>
      <c r="BQ375" s="1009"/>
      <c r="BR375" s="1009"/>
      <c r="BS375" s="833"/>
    </row>
    <row r="376" spans="1:71" s="24" customFormat="1" ht="15" hidden="1" outlineLevel="1">
      <c r="A376" s="214" t="s">
        <v>127</v>
      </c>
      <c r="B376" s="487"/>
      <c r="C376" s="1047">
        <v>6.38</v>
      </c>
      <c r="D376" s="1047">
        <v>6.69</v>
      </c>
      <c r="E376" s="1047">
        <v>3.40</v>
      </c>
      <c r="F376" s="1047">
        <v>6.35</v>
      </c>
      <c r="G376" s="1047">
        <v>9.84</v>
      </c>
      <c r="H376" s="941">
        <v>2.98</v>
      </c>
      <c r="I376" s="941">
        <v>1.98</v>
      </c>
      <c r="J376" s="941">
        <v>2.72</v>
      </c>
      <c r="K376" s="300">
        <f>L376-SUM(H376,I376,J376)</f>
        <v>3.1400000000000006</v>
      </c>
      <c r="L376" s="1047">
        <v>10.82</v>
      </c>
      <c r="M376" s="941">
        <v>2.58</v>
      </c>
      <c r="N376" s="941">
        <v>2.56</v>
      </c>
      <c r="O376" s="941">
        <v>3</v>
      </c>
      <c r="P376" s="300">
        <f>Q376-SUM(M376,N376,O376)</f>
        <v>2.8499999999999996</v>
      </c>
      <c r="Q376" s="1047">
        <v>10.99</v>
      </c>
      <c r="R376" s="941">
        <v>2.33</v>
      </c>
      <c r="S376" s="941">
        <v>2.27</v>
      </c>
      <c r="T376" s="941">
        <v>2.48</v>
      </c>
      <c r="U376" s="300">
        <f>V376-SUM(R376,S376,T376)</f>
        <v>3.3100000000000005</v>
      </c>
      <c r="V376" s="1047">
        <v>10.39</v>
      </c>
      <c r="W376" s="941">
        <v>2.19</v>
      </c>
      <c r="X376" s="941">
        <v>2.13</v>
      </c>
      <c r="Y376" s="941">
        <v>1.0600000000000001</v>
      </c>
      <c r="Z376" s="300">
        <f>AA376-SUM(W376,X376,Y376)</f>
        <v>2.0099999999999989</v>
      </c>
      <c r="AA376" s="1047">
        <v>7.39</v>
      </c>
      <c r="AB376" s="941">
        <v>2.4500000000000002</v>
      </c>
      <c r="AC376" s="941">
        <v>1.9300000000000002</v>
      </c>
      <c r="AD376" s="941">
        <v>2.65</v>
      </c>
      <c r="AE376" s="941">
        <v>2.33</v>
      </c>
      <c r="AF376" s="1047">
        <v>9.3699999999999992</v>
      </c>
      <c r="AG376" s="941">
        <v>3.01</v>
      </c>
      <c r="AH376" s="941">
        <v>2.11</v>
      </c>
      <c r="AI376" s="941">
        <v>1.52</v>
      </c>
      <c r="AJ376" s="300">
        <f>AK376-SUM(AG376,AH376,AI376)</f>
        <v>3.370000000000001</v>
      </c>
      <c r="AK376" s="1047">
        <v>10.01</v>
      </c>
      <c r="AL376" s="941">
        <v>2.34</v>
      </c>
      <c r="AM376" s="941">
        <v>-0.16</v>
      </c>
      <c r="AN376" s="941">
        <v>3.24</v>
      </c>
      <c r="AO376" s="941">
        <v>5.13</v>
      </c>
      <c r="AP376" s="1047">
        <v>10.56</v>
      </c>
      <c r="AQ376" s="941">
        <v>2.89</v>
      </c>
      <c r="AR376" s="941">
        <v>3.70</v>
      </c>
      <c r="AS376" s="941">
        <v>2.65</v>
      </c>
      <c r="AT376" s="941">
        <v>5.43</v>
      </c>
      <c r="AU376" s="1047">
        <v>14.63</v>
      </c>
      <c r="AV376" s="941">
        <v>4.20</v>
      </c>
      <c r="AW376" s="941">
        <v>2.29</v>
      </c>
      <c r="AX376" s="941">
        <v>1.91</v>
      </c>
      <c r="AY376" s="941">
        <v>3.49</v>
      </c>
      <c r="AZ376" s="1047">
        <v>11.91</v>
      </c>
      <c r="BA376" s="941">
        <v>4.1799999999999997</v>
      </c>
      <c r="BB376" s="941">
        <v>-0.070000000000000007</v>
      </c>
      <c r="BC376" s="941">
        <v>1.75</v>
      </c>
      <c r="BD376" s="941">
        <v>7.07</v>
      </c>
      <c r="BE376" s="1047">
        <v>12.93</v>
      </c>
      <c r="BF376" s="941">
        <v>4.87</v>
      </c>
      <c r="BG376" s="941">
        <v>2.3199999999999998</v>
      </c>
      <c r="BH376" s="942">
        <v>5.50</v>
      </c>
      <c r="BI376" s="301"/>
      <c r="BJ376" s="1048"/>
      <c r="BK376" s="301"/>
      <c r="BL376" s="301"/>
      <c r="BM376" s="301"/>
      <c r="BN376" s="301"/>
      <c r="BO376" s="1048"/>
      <c r="BP376" s="1048"/>
      <c r="BQ376" s="1048"/>
      <c r="BR376" s="1048"/>
      <c r="BS376" s="833"/>
    </row>
    <row r="377" spans="1:71" s="24" customFormat="1" ht="15" hidden="1" outlineLevel="1">
      <c r="A377" s="215" t="s">
        <v>601</v>
      </c>
      <c r="B377" s="488"/>
      <c r="C377" s="1049">
        <v>-0.04</v>
      </c>
      <c r="D377" s="1049">
        <v>-0.36</v>
      </c>
      <c r="E377" s="1049">
        <v>-0.09</v>
      </c>
      <c r="F377" s="1049">
        <v>-0.08</v>
      </c>
      <c r="G377" s="1049">
        <v>-0.28000000000000003</v>
      </c>
      <c r="H377" s="944">
        <v>0</v>
      </c>
      <c r="I377" s="944">
        <v>-0.03</v>
      </c>
      <c r="J377" s="944">
        <v>-0.08</v>
      </c>
      <c r="K377" s="303">
        <f>L377-SUM(H377,I377,J377)</f>
        <v>-0.039999999999999994</v>
      </c>
      <c r="L377" s="1049">
        <v>-0.14999999999999999</v>
      </c>
      <c r="M377" s="944">
        <v>-0.02</v>
      </c>
      <c r="N377" s="944">
        <v>-0.02</v>
      </c>
      <c r="O377" s="944">
        <v>-0.04</v>
      </c>
      <c r="P377" s="303">
        <f>Q377-SUM(M377,N377,O377)</f>
        <v>0.08</v>
      </c>
      <c r="Q377" s="1049">
        <v>0</v>
      </c>
      <c r="R377" s="944">
        <v>0.02</v>
      </c>
      <c r="S377" s="944">
        <v>-0.05</v>
      </c>
      <c r="T377" s="944">
        <v>-0.05</v>
      </c>
      <c r="U377" s="303">
        <f>V377-SUM(R377,S377,T377)</f>
        <v>-0.090000000000000011</v>
      </c>
      <c r="V377" s="1049">
        <v>-0.17</v>
      </c>
      <c r="W377" s="944">
        <v>-0.01</v>
      </c>
      <c r="X377" s="944">
        <v>-0.19</v>
      </c>
      <c r="Y377" s="944">
        <v>-0.14000000000000001</v>
      </c>
      <c r="Z377" s="303">
        <f>AA377-SUM(W377,X377,Y377)</f>
        <v>-0.16999999999999998</v>
      </c>
      <c r="AA377" s="1049">
        <v>-0.51</v>
      </c>
      <c r="AB377" s="944">
        <v>0.03</v>
      </c>
      <c r="AC377" s="944">
        <v>-0.10000000000000001</v>
      </c>
      <c r="AD377" s="944">
        <v>-0.09</v>
      </c>
      <c r="AE377" s="944">
        <v>-0.18</v>
      </c>
      <c r="AF377" s="1049">
        <v>-0.35</v>
      </c>
      <c r="AG377" s="944">
        <v>-0.16</v>
      </c>
      <c r="AH377" s="944">
        <v>-0.070000000000000007</v>
      </c>
      <c r="AI377" s="944">
        <v>-0.070000000000000007</v>
      </c>
      <c r="AJ377" s="303">
        <f>AK377-SUM(AG377,AH377,AI377)</f>
        <v>-0.019999999999999962</v>
      </c>
      <c r="AK377" s="1049">
        <v>-0.32</v>
      </c>
      <c r="AL377" s="944">
        <v>0.30</v>
      </c>
      <c r="AM377" s="944">
        <v>-0.04</v>
      </c>
      <c r="AN377" s="944">
        <v>-0.11</v>
      </c>
      <c r="AO377" s="303">
        <f t="shared" si="736" ref="AO377">AP377-SUM(AL377,AM377,AN377)</f>
        <v>-0.19000000000000003</v>
      </c>
      <c r="AP377" s="1049">
        <v>-0.04</v>
      </c>
      <c r="AQ377" s="944">
        <v>-0.14000000000000001</v>
      </c>
      <c r="AR377" s="944">
        <v>-0.19</v>
      </c>
      <c r="AS377" s="944">
        <v>-0.02</v>
      </c>
      <c r="AT377" s="303">
        <f>AU377-SUM(AQ377,AR377,AS377)</f>
        <v>-0.18</v>
      </c>
      <c r="AU377" s="1049">
        <v>-0.53</v>
      </c>
      <c r="AV377" s="944">
        <v>0.070000000000000007</v>
      </c>
      <c r="AW377" s="944">
        <v>0.31</v>
      </c>
      <c r="AX377" s="944">
        <v>0.31</v>
      </c>
      <c r="AY377" s="303">
        <f>AZ377-SUM(AV377,AW377,AX377)</f>
        <v>-0.039999999999999925</v>
      </c>
      <c r="AZ377" s="1049">
        <v>0.65</v>
      </c>
      <c r="BA377" s="944">
        <v>-0.02</v>
      </c>
      <c r="BB377" s="944">
        <v>0.13</v>
      </c>
      <c r="BC377" s="944">
        <v>0.22</v>
      </c>
      <c r="BD377" s="303">
        <f>BE377-SUM(BA377,BB377,BC377)</f>
        <v>0.019999999999999962</v>
      </c>
      <c r="BE377" s="1049">
        <v>0.35</v>
      </c>
      <c r="BF377" s="944">
        <v>-0.12</v>
      </c>
      <c r="BG377" s="944">
        <v>0.22</v>
      </c>
      <c r="BH377" s="945">
        <v>-0.19</v>
      </c>
      <c r="BI377" s="304"/>
      <c r="BJ377" s="1050"/>
      <c r="BK377" s="304"/>
      <c r="BL377" s="304"/>
      <c r="BM377" s="304"/>
      <c r="BN377" s="304"/>
      <c r="BO377" s="1050"/>
      <c r="BP377" s="1050"/>
      <c r="BQ377" s="1050"/>
      <c r="BR377" s="1050"/>
      <c r="BS377" s="833"/>
    </row>
    <row r="378" spans="1:71" s="24" customFormat="1" ht="15" hidden="1" outlineLevel="1">
      <c r="A378" s="215" t="s">
        <v>546</v>
      </c>
      <c r="B378" s="488"/>
      <c r="C378" s="1050"/>
      <c r="D378" s="1050"/>
      <c r="E378" s="1050"/>
      <c r="F378" s="1050"/>
      <c r="G378" s="1050"/>
      <c r="H378" s="304"/>
      <c r="I378" s="304"/>
      <c r="J378" s="304"/>
      <c r="K378" s="304"/>
      <c r="L378" s="1050"/>
      <c r="M378" s="304"/>
      <c r="N378" s="304"/>
      <c r="O378" s="304"/>
      <c r="P378" s="304"/>
      <c r="Q378" s="1050"/>
      <c r="R378" s="304"/>
      <c r="S378" s="304"/>
      <c r="T378" s="304"/>
      <c r="U378" s="304"/>
      <c r="V378" s="1050"/>
      <c r="W378" s="304"/>
      <c r="X378" s="304"/>
      <c r="Y378" s="304"/>
      <c r="Z378" s="304"/>
      <c r="AA378" s="1050"/>
      <c r="AB378" s="304"/>
      <c r="AC378" s="304"/>
      <c r="AD378" s="304"/>
      <c r="AE378" s="304"/>
      <c r="AF378" s="1050"/>
      <c r="AG378" s="304"/>
      <c r="AH378" s="304"/>
      <c r="AI378" s="304"/>
      <c r="AJ378" s="304"/>
      <c r="AK378" s="1050"/>
      <c r="AL378" s="304"/>
      <c r="AM378" s="304"/>
      <c r="AN378" s="304"/>
      <c r="AO378" s="304"/>
      <c r="AP378" s="1050"/>
      <c r="AQ378" s="304"/>
      <c r="AR378" s="944">
        <v>-0.03</v>
      </c>
      <c r="AS378" s="304"/>
      <c r="AT378" s="304">
        <f>AU378-SUM(AQ378,AR378,AS378)</f>
        <v>0</v>
      </c>
      <c r="AU378" s="1049">
        <v>-0.03</v>
      </c>
      <c r="AV378" s="304"/>
      <c r="AW378" s="304"/>
      <c r="AX378" s="304"/>
      <c r="AY378" s="304">
        <f>AZ378-SUM(AV378,AW378,AX378)</f>
        <v>0</v>
      </c>
      <c r="AZ378" s="1049">
        <v>0</v>
      </c>
      <c r="BA378" s="304"/>
      <c r="BB378" s="304"/>
      <c r="BC378" s="304"/>
      <c r="BD378" s="304">
        <f>BE378-SUM(BA378,BB378,BC378)</f>
        <v>0</v>
      </c>
      <c r="BE378" s="1050"/>
      <c r="BF378" s="304"/>
      <c r="BG378" s="304"/>
      <c r="BH378" s="764"/>
      <c r="BI378" s="304"/>
      <c r="BJ378" s="1050"/>
      <c r="BK378" s="304"/>
      <c r="BL378" s="304"/>
      <c r="BM378" s="304"/>
      <c r="BN378" s="304"/>
      <c r="BO378" s="1050"/>
      <c r="BP378" s="1050"/>
      <c r="BQ378" s="1050"/>
      <c r="BR378" s="1050"/>
      <c r="BS378" s="833"/>
    </row>
    <row r="379" spans="1:71" s="24" customFormat="1" ht="15" hidden="1" outlineLevel="1">
      <c r="A379" s="335" t="s">
        <v>129</v>
      </c>
      <c r="B379" s="489"/>
      <c r="C379" s="1051">
        <v>0</v>
      </c>
      <c r="D379" s="1051">
        <v>0</v>
      </c>
      <c r="E379" s="1051">
        <v>0</v>
      </c>
      <c r="F379" s="1051">
        <v>0</v>
      </c>
      <c r="G379" s="1051">
        <v>0</v>
      </c>
      <c r="H379" s="947">
        <v>0</v>
      </c>
      <c r="I379" s="947">
        <v>0</v>
      </c>
      <c r="J379" s="947">
        <v>0</v>
      </c>
      <c r="K379" s="336">
        <f>L379-SUM(H379,I379,J379)</f>
        <v>0</v>
      </c>
      <c r="L379" s="1051">
        <v>0</v>
      </c>
      <c r="M379" s="947">
        <v>0</v>
      </c>
      <c r="N379" s="947">
        <v>0</v>
      </c>
      <c r="O379" s="947">
        <v>0</v>
      </c>
      <c r="P379" s="336">
        <f>Q379-SUM(M379,N379,O379)</f>
        <v>0</v>
      </c>
      <c r="Q379" s="1051">
        <v>0</v>
      </c>
      <c r="R379" s="947">
        <v>0</v>
      </c>
      <c r="S379" s="947">
        <v>0</v>
      </c>
      <c r="T379" s="947">
        <v>0</v>
      </c>
      <c r="U379" s="336">
        <f>V379-SUM(R379,S379,T379)</f>
        <v>0</v>
      </c>
      <c r="V379" s="1051">
        <v>0</v>
      </c>
      <c r="W379" s="947">
        <v>0</v>
      </c>
      <c r="X379" s="947">
        <v>0</v>
      </c>
      <c r="Y379" s="947">
        <v>0</v>
      </c>
      <c r="Z379" s="336">
        <f>AA379-SUM(W379,X379,Y379)</f>
        <v>0.47</v>
      </c>
      <c r="AA379" s="1051">
        <v>0.47</v>
      </c>
      <c r="AB379" s="337"/>
      <c r="AC379" s="337"/>
      <c r="AD379" s="337"/>
      <c r="AE379" s="336">
        <f>AF379-SUM(AB379,AC379,AD379)</f>
        <v>0</v>
      </c>
      <c r="AF379" s="1052"/>
      <c r="AG379" s="337"/>
      <c r="AH379" s="337"/>
      <c r="AI379" s="337"/>
      <c r="AJ379" s="337"/>
      <c r="AK379" s="1052"/>
      <c r="AL379" s="337"/>
      <c r="AM379" s="337"/>
      <c r="AN379" s="337"/>
      <c r="AO379" s="337"/>
      <c r="AP379" s="1052"/>
      <c r="AQ379" s="337"/>
      <c r="AR379" s="337"/>
      <c r="AS379" s="337"/>
      <c r="AT379" s="337"/>
      <c r="AU379" s="1052"/>
      <c r="AV379" s="337"/>
      <c r="AW379" s="337"/>
      <c r="AX379" s="337"/>
      <c r="AY379" s="337"/>
      <c r="AZ379" s="1052"/>
      <c r="BA379" s="337"/>
      <c r="BB379" s="337"/>
      <c r="BC379" s="337"/>
      <c r="BD379" s="337"/>
      <c r="BE379" s="1052"/>
      <c r="BF379" s="337"/>
      <c r="BG379" s="337"/>
      <c r="BH379" s="765"/>
      <c r="BI379" s="337"/>
      <c r="BJ379" s="1052"/>
      <c r="BK379" s="337"/>
      <c r="BL379" s="337"/>
      <c r="BM379" s="337"/>
      <c r="BN379" s="337"/>
      <c r="BO379" s="1052"/>
      <c r="BP379" s="1052"/>
      <c r="BQ379" s="1052"/>
      <c r="BR379" s="1052"/>
      <c r="BS379" s="833"/>
    </row>
    <row r="380" spans="1:71" s="24" customFormat="1" ht="15" hidden="1" outlineLevel="1">
      <c r="A380" s="216" t="s">
        <v>130</v>
      </c>
      <c r="B380" s="490"/>
      <c r="C380" s="1053">
        <f t="shared" si="737" ref="C380:AM380">SUM(C376:C379)</f>
        <v>6.34</v>
      </c>
      <c r="D380" s="1053">
        <f t="shared" si="737"/>
        <v>6.33</v>
      </c>
      <c r="E380" s="1053">
        <f t="shared" si="737"/>
        <v>3.31</v>
      </c>
      <c r="F380" s="1053">
        <f t="shared" si="737"/>
        <v>6.27</v>
      </c>
      <c r="G380" s="1053">
        <f t="shared" si="737"/>
        <v>9.56</v>
      </c>
      <c r="H380" s="307">
        <f t="shared" si="737"/>
        <v>2.98</v>
      </c>
      <c r="I380" s="307">
        <f t="shared" si="737"/>
        <v>1.95</v>
      </c>
      <c r="J380" s="307">
        <f t="shared" si="737"/>
        <v>2.64</v>
      </c>
      <c r="K380" s="307">
        <f t="shared" si="737"/>
        <v>3.1000000000000005</v>
      </c>
      <c r="L380" s="1053">
        <f t="shared" si="737"/>
        <v>10.67</v>
      </c>
      <c r="M380" s="307">
        <f t="shared" si="737"/>
        <v>2.56</v>
      </c>
      <c r="N380" s="307">
        <f t="shared" si="737"/>
        <v>2.54</v>
      </c>
      <c r="O380" s="307">
        <f t="shared" si="737"/>
        <v>2.96</v>
      </c>
      <c r="P380" s="307">
        <f t="shared" si="737"/>
        <v>2.9299999999999997</v>
      </c>
      <c r="Q380" s="1053">
        <f t="shared" si="737"/>
        <v>10.99</v>
      </c>
      <c r="R380" s="307">
        <f t="shared" si="737"/>
        <v>2.35</v>
      </c>
      <c r="S380" s="307">
        <f t="shared" si="737"/>
        <v>2.2200000000000002</v>
      </c>
      <c r="T380" s="307">
        <f t="shared" si="737"/>
        <v>2.4300000000000002</v>
      </c>
      <c r="U380" s="307">
        <f t="shared" si="737"/>
        <v>3.2200000000000006</v>
      </c>
      <c r="V380" s="1053">
        <f t="shared" si="737"/>
        <v>10.220000000000001</v>
      </c>
      <c r="W380" s="308">
        <f t="shared" si="737"/>
        <v>2.1800000000000002</v>
      </c>
      <c r="X380" s="307">
        <f t="shared" si="737"/>
        <v>1.94</v>
      </c>
      <c r="Y380" s="307">
        <f t="shared" si="737"/>
        <v>0.92</v>
      </c>
      <c r="Z380" s="307">
        <f t="shared" si="737"/>
        <v>2.3099999999999987</v>
      </c>
      <c r="AA380" s="1053">
        <f t="shared" si="737"/>
        <v>7.35</v>
      </c>
      <c r="AB380" s="308">
        <f t="shared" si="737"/>
        <v>2.48</v>
      </c>
      <c r="AC380" s="307">
        <f t="shared" si="737"/>
        <v>1.83</v>
      </c>
      <c r="AD380" s="307">
        <f t="shared" si="737"/>
        <v>2.56</v>
      </c>
      <c r="AE380" s="307">
        <f t="shared" si="737"/>
        <v>2.15</v>
      </c>
      <c r="AF380" s="1053">
        <f t="shared" si="737"/>
        <v>9.02</v>
      </c>
      <c r="AG380" s="308">
        <f t="shared" si="737"/>
        <v>2.8499999999999996</v>
      </c>
      <c r="AH380" s="307">
        <f t="shared" si="737"/>
        <v>2.04</v>
      </c>
      <c r="AI380" s="307">
        <f t="shared" si="737"/>
        <v>1.45</v>
      </c>
      <c r="AJ380" s="307">
        <f t="shared" si="737"/>
        <v>3.350000000000001</v>
      </c>
      <c r="AK380" s="1053">
        <f t="shared" si="737"/>
        <v>9.69</v>
      </c>
      <c r="AL380" s="308">
        <f t="shared" si="737"/>
        <v>2.6399999999999997</v>
      </c>
      <c r="AM380" s="307">
        <f t="shared" si="737"/>
        <v>-0.20</v>
      </c>
      <c r="AN380" s="307">
        <f>SUM(AN376:AN379)</f>
        <v>3.1300000000000003</v>
      </c>
      <c r="AO380" s="307">
        <f t="shared" si="738" ref="AO380:AP380">SUM(AO376:AO379)</f>
        <v>4.9399999999999995</v>
      </c>
      <c r="AP380" s="1053">
        <f t="shared" si="738"/>
        <v>10.52</v>
      </c>
      <c r="AQ380" s="308">
        <f t="shared" si="739" ref="AQ380">SUM(AQ376:AQ379)</f>
        <v>2.75</v>
      </c>
      <c r="AR380" s="307">
        <f t="shared" si="740" ref="AR380:AW380">SUM(AR376:AR379)</f>
        <v>3.4800000000000004</v>
      </c>
      <c r="AS380" s="307">
        <f t="shared" si="740"/>
        <v>2.63</v>
      </c>
      <c r="AT380" s="307">
        <f t="shared" si="740"/>
        <v>5.25</v>
      </c>
      <c r="AU380" s="1053">
        <f t="shared" si="740"/>
        <v>14.070000000000002</v>
      </c>
      <c r="AV380" s="308">
        <f t="shared" si="740"/>
        <v>4.2700000000000005</v>
      </c>
      <c r="AW380" s="307">
        <f t="shared" si="740"/>
        <v>2.60</v>
      </c>
      <c r="AX380" s="307">
        <f t="shared" si="741" ref="AX380:BC380">SUM(AX376:AX379)</f>
        <v>2.2199999999999998</v>
      </c>
      <c r="AY380" s="307">
        <f t="shared" si="741"/>
        <v>3.45</v>
      </c>
      <c r="AZ380" s="1053">
        <f t="shared" si="741"/>
        <v>12.56</v>
      </c>
      <c r="BA380" s="308">
        <f t="shared" si="741"/>
        <v>4.16</v>
      </c>
      <c r="BB380" s="307">
        <f t="shared" si="741"/>
        <v>0.06</v>
      </c>
      <c r="BC380" s="307">
        <f t="shared" si="741"/>
        <v>1.97</v>
      </c>
      <c r="BD380" s="307">
        <f>SUM(BD376:BD379)</f>
        <v>7.09</v>
      </c>
      <c r="BE380" s="1053">
        <f>SUM(BE376:BE379)</f>
        <v>13.28</v>
      </c>
      <c r="BF380" s="308">
        <f>SUM(BF376:BF379)</f>
        <v>4.75</v>
      </c>
      <c r="BG380" s="307">
        <f>SUM(BG376:BG379)</f>
        <v>2.54</v>
      </c>
      <c r="BH380" s="812">
        <f>SUM(BH376:BH379)</f>
        <v>5.31</v>
      </c>
      <c r="BI380" s="308"/>
      <c r="BJ380" s="1054"/>
      <c r="BK380" s="308"/>
      <c r="BL380" s="308"/>
      <c r="BM380" s="308"/>
      <c r="BN380" s="308"/>
      <c r="BO380" s="1054"/>
      <c r="BP380" s="1054"/>
      <c r="BQ380" s="1054"/>
      <c r="BR380" s="1054"/>
      <c r="BS380" s="833"/>
    </row>
    <row r="381" spans="1:71" s="24" customFormat="1" ht="15" hidden="1" outlineLevel="1">
      <c r="A381" s="477"/>
      <c r="B381" s="463"/>
      <c r="C381" s="1009"/>
      <c r="D381" s="1009"/>
      <c r="E381" s="1009"/>
      <c r="F381" s="1009"/>
      <c r="G381" s="1009"/>
      <c r="H381" s="199"/>
      <c r="I381" s="199"/>
      <c r="J381" s="199"/>
      <c r="K381" s="199"/>
      <c r="L381" s="1009"/>
      <c r="M381" s="199"/>
      <c r="N381" s="199"/>
      <c r="O381" s="199"/>
      <c r="P381" s="199"/>
      <c r="Q381" s="1009"/>
      <c r="R381" s="199"/>
      <c r="S381" s="199"/>
      <c r="T381" s="199"/>
      <c r="U381" s="199"/>
      <c r="V381" s="1009"/>
      <c r="W381" s="199"/>
      <c r="X381" s="199"/>
      <c r="Y381" s="199"/>
      <c r="Z381" s="199"/>
      <c r="AA381" s="1009"/>
      <c r="AB381" s="199"/>
      <c r="AC381" s="199"/>
      <c r="AD381" s="199"/>
      <c r="AE381" s="199"/>
      <c r="AF381" s="1009"/>
      <c r="AG381" s="199"/>
      <c r="AH381" s="199"/>
      <c r="AI381" s="199"/>
      <c r="AJ381" s="199"/>
      <c r="AK381" s="1009"/>
      <c r="AL381" s="199"/>
      <c r="AM381" s="199"/>
      <c r="AN381" s="199"/>
      <c r="AO381" s="199"/>
      <c r="AP381" s="1009"/>
      <c r="AQ381" s="199"/>
      <c r="AR381" s="199"/>
      <c r="AS381" s="199"/>
      <c r="AT381" s="199"/>
      <c r="AU381" s="1009"/>
      <c r="AV381" s="199"/>
      <c r="AW381" s="199"/>
      <c r="AX381" s="199"/>
      <c r="AY381" s="199"/>
      <c r="AZ381" s="1009"/>
      <c r="BA381" s="199"/>
      <c r="BB381" s="199"/>
      <c r="BC381" s="199"/>
      <c r="BD381" s="199"/>
      <c r="BE381" s="1009"/>
      <c r="BF381" s="199"/>
      <c r="BG381" s="199"/>
      <c r="BH381" s="554"/>
      <c r="BI381" s="199"/>
      <c r="BJ381" s="1009"/>
      <c r="BK381" s="199"/>
      <c r="BL381" s="199"/>
      <c r="BM381" s="199"/>
      <c r="BN381" s="199"/>
      <c r="BO381" s="1009"/>
      <c r="BP381" s="1009"/>
      <c r="BQ381" s="1009"/>
      <c r="BR381" s="1009"/>
      <c r="BS381" s="833"/>
    </row>
    <row r="382" spans="1:71" s="24" customFormat="1" ht="15" hidden="1" outlineLevel="1">
      <c r="A382" s="214" t="s">
        <v>131</v>
      </c>
      <c r="B382" s="487"/>
      <c r="C382" s="1047">
        <v>6.33</v>
      </c>
      <c r="D382" s="1047">
        <v>6.62</v>
      </c>
      <c r="E382" s="1047">
        <v>3.36</v>
      </c>
      <c r="F382" s="1047">
        <v>6.30</v>
      </c>
      <c r="G382" s="1047">
        <v>9.74</v>
      </c>
      <c r="H382" s="941">
        <v>2.95</v>
      </c>
      <c r="I382" s="941">
        <v>1.95</v>
      </c>
      <c r="J382" s="941">
        <v>2.69</v>
      </c>
      <c r="K382" s="300">
        <f>L382-SUM(H382,I382,J382)</f>
        <v>3.1099999999999994</v>
      </c>
      <c r="L382" s="1047">
        <v>10.70</v>
      </c>
      <c r="M382" s="941">
        <v>2.5499999999999998</v>
      </c>
      <c r="N382" s="941">
        <v>2.5299999999999998</v>
      </c>
      <c r="O382" s="941">
        <v>2.97</v>
      </c>
      <c r="P382" s="300">
        <f>Q382-SUM(M382,N382,O382)</f>
        <v>2.83</v>
      </c>
      <c r="Q382" s="1047">
        <v>10.88</v>
      </c>
      <c r="R382" s="941">
        <v>2.2999999999999998</v>
      </c>
      <c r="S382" s="941">
        <v>2.2400000000000002</v>
      </c>
      <c r="T382" s="941">
        <v>2.4500000000000002</v>
      </c>
      <c r="U382" s="300">
        <f>V382-SUM(R382,S382,T382)</f>
        <v>3.2899999999999991</v>
      </c>
      <c r="V382" s="1047">
        <v>10.28</v>
      </c>
      <c r="W382" s="941">
        <v>2.17</v>
      </c>
      <c r="X382" s="941">
        <v>2.11</v>
      </c>
      <c r="Y382" s="941">
        <v>1.05</v>
      </c>
      <c r="Z382" s="300">
        <f>AA382-SUM(W382,X382,Y382)</f>
        <v>2.0000000000000009</v>
      </c>
      <c r="AA382" s="1047">
        <v>7.33</v>
      </c>
      <c r="AB382" s="941">
        <v>2.42</v>
      </c>
      <c r="AC382" s="941">
        <v>1.92</v>
      </c>
      <c r="AD382" s="941">
        <v>2.62</v>
      </c>
      <c r="AE382" s="300">
        <f>AF382-SUM(AB382,AC382,AD382)</f>
        <v>2.3199999999999994</v>
      </c>
      <c r="AF382" s="1047">
        <v>9.2799999999999994</v>
      </c>
      <c r="AG382" s="941">
        <v>2.99</v>
      </c>
      <c r="AH382" s="941">
        <v>2.10</v>
      </c>
      <c r="AI382" s="941">
        <v>1.50</v>
      </c>
      <c r="AJ382" s="300">
        <f>AK382-SUM(AG382,AH382,AI382)</f>
        <v>3.33</v>
      </c>
      <c r="AK382" s="1047">
        <v>9.92</v>
      </c>
      <c r="AL382" s="941">
        <v>2.33</v>
      </c>
      <c r="AM382" s="941">
        <v>-0.16</v>
      </c>
      <c r="AN382" s="941">
        <v>3.23</v>
      </c>
      <c r="AO382" s="941">
        <v>5.0999999999999996</v>
      </c>
      <c r="AP382" s="1047">
        <v>10.52</v>
      </c>
      <c r="AQ382" s="941">
        <v>2.87</v>
      </c>
      <c r="AR382" s="941">
        <v>3.66</v>
      </c>
      <c r="AS382" s="941">
        <v>2.62</v>
      </c>
      <c r="AT382" s="941">
        <v>5.37</v>
      </c>
      <c r="AU382" s="1047">
        <v>14.49</v>
      </c>
      <c r="AV382" s="941">
        <v>4.1500000000000004</v>
      </c>
      <c r="AW382" s="941">
        <v>2.27</v>
      </c>
      <c r="AX382" s="941">
        <v>1.89</v>
      </c>
      <c r="AY382" s="941">
        <v>3.44</v>
      </c>
      <c r="AZ382" s="1047">
        <v>11.77</v>
      </c>
      <c r="BA382" s="941">
        <v>4.13</v>
      </c>
      <c r="BB382" s="941">
        <v>-0.070000000000000007</v>
      </c>
      <c r="BC382" s="941">
        <v>1.74</v>
      </c>
      <c r="BD382" s="941">
        <v>6.99</v>
      </c>
      <c r="BE382" s="1047">
        <v>12.79</v>
      </c>
      <c r="BF382" s="941">
        <v>4.80</v>
      </c>
      <c r="BG382" s="941">
        <v>2.29</v>
      </c>
      <c r="BH382" s="942">
        <v>5.42</v>
      </c>
      <c r="BI382" s="301"/>
      <c r="BJ382" s="1048"/>
      <c r="BK382" s="301"/>
      <c r="BL382" s="301"/>
      <c r="BM382" s="301"/>
      <c r="BN382" s="301"/>
      <c r="BO382" s="1048"/>
      <c r="BP382" s="1048"/>
      <c r="BQ382" s="1048"/>
      <c r="BR382" s="1048"/>
      <c r="BS382" s="833"/>
    </row>
    <row r="383" spans="1:71" s="24" customFormat="1" ht="15" hidden="1" outlineLevel="1">
      <c r="A383" s="215" t="s">
        <v>128</v>
      </c>
      <c r="B383" s="488"/>
      <c r="C383" s="1049">
        <v>-0.04</v>
      </c>
      <c r="D383" s="1049">
        <v>-0.36</v>
      </c>
      <c r="E383" s="1049">
        <v>-0.08</v>
      </c>
      <c r="F383" s="1049">
        <v>-0.09</v>
      </c>
      <c r="G383" s="1049">
        <v>-0.28000000000000003</v>
      </c>
      <c r="H383" s="944">
        <v>0</v>
      </c>
      <c r="I383" s="944">
        <v>-0.02</v>
      </c>
      <c r="J383" s="944">
        <v>-0.08</v>
      </c>
      <c r="K383" s="303">
        <f>L383-SUM(H383,I383,J383)</f>
        <v>-0.049999999999999989</v>
      </c>
      <c r="L383" s="1049">
        <v>-0.14999999999999999</v>
      </c>
      <c r="M383" s="944">
        <v>-0.02</v>
      </c>
      <c r="N383" s="944">
        <v>-0.01</v>
      </c>
      <c r="O383" s="944">
        <v>-0.04</v>
      </c>
      <c r="P383" s="303">
        <f>Q383-SUM(M383,N383,O383)</f>
        <v>0.060000000000000005</v>
      </c>
      <c r="Q383" s="1049">
        <v>-0.01</v>
      </c>
      <c r="R383" s="944">
        <v>0.03</v>
      </c>
      <c r="S383" s="944">
        <v>-0.04</v>
      </c>
      <c r="T383" s="944">
        <v>-0.05</v>
      </c>
      <c r="U383" s="303">
        <f>V383-SUM(R383,S383,T383)</f>
        <v>-0.10000000000000001</v>
      </c>
      <c r="V383" s="1049">
        <v>-0.16</v>
      </c>
      <c r="W383" s="944">
        <v>-0.01</v>
      </c>
      <c r="X383" s="944">
        <v>-0.19</v>
      </c>
      <c r="Y383" s="944">
        <v>-0.14000000000000001</v>
      </c>
      <c r="Z383" s="303">
        <f>AA383-SUM(W383,X383,Y383)</f>
        <v>-0.16999999999999998</v>
      </c>
      <c r="AA383" s="1049">
        <v>-0.51</v>
      </c>
      <c r="AB383" s="944">
        <v>0.04</v>
      </c>
      <c r="AC383" s="944">
        <v>-0.11</v>
      </c>
      <c r="AD383" s="944">
        <v>-0.08</v>
      </c>
      <c r="AE383" s="303">
        <f>AF383-SUM(AB383,AC383,AD383)</f>
        <v>-0.19</v>
      </c>
      <c r="AF383" s="1049">
        <v>-0.34</v>
      </c>
      <c r="AG383" s="944">
        <v>-0.16</v>
      </c>
      <c r="AH383" s="944">
        <v>-0.08</v>
      </c>
      <c r="AI383" s="944">
        <v>-0.070000000000000007</v>
      </c>
      <c r="AJ383" s="303">
        <f>AK383-SUM(AG383,AH383,AI383)</f>
        <v>-0.010000000000000009</v>
      </c>
      <c r="AK383" s="1049">
        <v>-0.32</v>
      </c>
      <c r="AL383" s="944">
        <v>0.28999999999999998</v>
      </c>
      <c r="AM383" s="944">
        <v>-0.04</v>
      </c>
      <c r="AN383" s="944">
        <v>-0.11</v>
      </c>
      <c r="AO383" s="944">
        <v>-0.19</v>
      </c>
      <c r="AP383" s="1049">
        <v>-0.04</v>
      </c>
      <c r="AQ383" s="944">
        <v>-0.14000000000000001</v>
      </c>
      <c r="AR383" s="944">
        <v>-0.18</v>
      </c>
      <c r="AS383" s="944">
        <v>-0.02</v>
      </c>
      <c r="AT383" s="944">
        <v>-0.17</v>
      </c>
      <c r="AU383" s="1049">
        <v>-0.52</v>
      </c>
      <c r="AV383" s="944">
        <v>0.070000000000000007</v>
      </c>
      <c r="AW383" s="944">
        <v>0.30</v>
      </c>
      <c r="AX383" s="944">
        <v>0.31</v>
      </c>
      <c r="AY383" s="944">
        <v>-0.04</v>
      </c>
      <c r="AZ383" s="1049">
        <v>0.65</v>
      </c>
      <c r="BA383" s="944">
        <v>-0.02</v>
      </c>
      <c r="BB383" s="944">
        <v>0.13</v>
      </c>
      <c r="BC383" s="944">
        <v>0.21</v>
      </c>
      <c r="BD383" s="303">
        <f>BE383-SUM(BA383,BB383,BC383)</f>
        <v>0.020000000000000018</v>
      </c>
      <c r="BE383" s="1049">
        <v>0.34</v>
      </c>
      <c r="BF383" s="944">
        <v>-0.11</v>
      </c>
      <c r="BG383" s="944">
        <v>0.22</v>
      </c>
      <c r="BH383" s="945">
        <v>-0.18</v>
      </c>
      <c r="BI383" s="304"/>
      <c r="BJ383" s="1050"/>
      <c r="BK383" s="304"/>
      <c r="BL383" s="304"/>
      <c r="BM383" s="304"/>
      <c r="BN383" s="304"/>
      <c r="BO383" s="1050"/>
      <c r="BP383" s="1050"/>
      <c r="BQ383" s="1050"/>
      <c r="BR383" s="1050"/>
      <c r="BS383" s="833"/>
    </row>
    <row r="384" spans="1:71" s="24" customFormat="1" ht="15" hidden="1" outlineLevel="1">
      <c r="A384" s="215" t="s">
        <v>546</v>
      </c>
      <c r="B384" s="488"/>
      <c r="C384" s="1050"/>
      <c r="D384" s="1050"/>
      <c r="E384" s="1050"/>
      <c r="F384" s="1050"/>
      <c r="G384" s="1050"/>
      <c r="H384" s="304"/>
      <c r="I384" s="304"/>
      <c r="J384" s="304"/>
      <c r="K384" s="304"/>
      <c r="L384" s="1050"/>
      <c r="M384" s="304"/>
      <c r="N384" s="304"/>
      <c r="O384" s="304"/>
      <c r="P384" s="304"/>
      <c r="Q384" s="1050"/>
      <c r="R384" s="304"/>
      <c r="S384" s="304"/>
      <c r="T384" s="304"/>
      <c r="U384" s="304"/>
      <c r="V384" s="1050"/>
      <c r="W384" s="304"/>
      <c r="X384" s="304"/>
      <c r="Y384" s="304"/>
      <c r="Z384" s="304"/>
      <c r="AA384" s="1050"/>
      <c r="AB384" s="304"/>
      <c r="AC384" s="304"/>
      <c r="AD384" s="304"/>
      <c r="AE384" s="304"/>
      <c r="AF384" s="1050"/>
      <c r="AG384" s="304"/>
      <c r="AH384" s="304"/>
      <c r="AI384" s="304"/>
      <c r="AJ384" s="304"/>
      <c r="AK384" s="1050"/>
      <c r="AL384" s="304"/>
      <c r="AM384" s="304"/>
      <c r="AN384" s="304"/>
      <c r="AO384" s="304"/>
      <c r="AP384" s="1050"/>
      <c r="AQ384" s="304"/>
      <c r="AR384" s="944">
        <v>-0.03</v>
      </c>
      <c r="AS384" s="304"/>
      <c r="AT384" s="304"/>
      <c r="AU384" s="1049">
        <v>-0.03</v>
      </c>
      <c r="AV384" s="304"/>
      <c r="AW384" s="304"/>
      <c r="AX384" s="304"/>
      <c r="AY384" s="304"/>
      <c r="AZ384" s="1049">
        <v>0</v>
      </c>
      <c r="BA384" s="304"/>
      <c r="BB384" s="304"/>
      <c r="BC384" s="304"/>
      <c r="BD384" s="304"/>
      <c r="BE384" s="1050"/>
      <c r="BF384" s="304"/>
      <c r="BG384" s="304"/>
      <c r="BH384" s="764"/>
      <c r="BI384" s="304"/>
      <c r="BJ384" s="1050"/>
      <c r="BK384" s="304"/>
      <c r="BL384" s="304"/>
      <c r="BM384" s="304"/>
      <c r="BN384" s="304"/>
      <c r="BO384" s="1050"/>
      <c r="BP384" s="1050"/>
      <c r="BQ384" s="1050"/>
      <c r="BR384" s="1050"/>
      <c r="BS384" s="833"/>
    </row>
    <row r="385" spans="1:71" s="24" customFormat="1" ht="15" hidden="1" outlineLevel="1">
      <c r="A385" s="335" t="s">
        <v>129</v>
      </c>
      <c r="B385" s="489"/>
      <c r="C385" s="1051">
        <v>0</v>
      </c>
      <c r="D385" s="1051">
        <v>0</v>
      </c>
      <c r="E385" s="1051">
        <v>0</v>
      </c>
      <c r="F385" s="1051">
        <v>0</v>
      </c>
      <c r="G385" s="1051">
        <v>0</v>
      </c>
      <c r="H385" s="947">
        <v>0</v>
      </c>
      <c r="I385" s="947">
        <v>0</v>
      </c>
      <c r="J385" s="947">
        <v>0</v>
      </c>
      <c r="K385" s="336">
        <f>L385-SUM(H385,I385,J385)</f>
        <v>0</v>
      </c>
      <c r="L385" s="1051">
        <v>0</v>
      </c>
      <c r="M385" s="947">
        <v>0</v>
      </c>
      <c r="N385" s="947">
        <v>0</v>
      </c>
      <c r="O385" s="947">
        <v>0</v>
      </c>
      <c r="P385" s="336">
        <f>Q385-SUM(M385,N385,O385)</f>
        <v>0</v>
      </c>
      <c r="Q385" s="1051">
        <v>0</v>
      </c>
      <c r="R385" s="947">
        <v>0</v>
      </c>
      <c r="S385" s="947">
        <v>0</v>
      </c>
      <c r="T385" s="947">
        <v>0</v>
      </c>
      <c r="U385" s="336">
        <f>V385-SUM(R385,S385,T385)</f>
        <v>0</v>
      </c>
      <c r="V385" s="1051">
        <v>0</v>
      </c>
      <c r="W385" s="947">
        <v>0</v>
      </c>
      <c r="X385" s="947">
        <v>0</v>
      </c>
      <c r="Y385" s="947">
        <v>0</v>
      </c>
      <c r="Z385" s="336">
        <f>AA385-SUM(W385,X385,Y385)</f>
        <v>0.46</v>
      </c>
      <c r="AA385" s="1051">
        <v>0.46</v>
      </c>
      <c r="AB385" s="337"/>
      <c r="AC385" s="337"/>
      <c r="AD385" s="337"/>
      <c r="AE385" s="336">
        <f>AF385-SUM(AB385,AC385,AD385)</f>
        <v>0</v>
      </c>
      <c r="AF385" s="1052"/>
      <c r="AG385" s="337"/>
      <c r="AH385" s="337"/>
      <c r="AI385" s="337"/>
      <c r="AJ385" s="337"/>
      <c r="AK385" s="1052"/>
      <c r="AL385" s="337"/>
      <c r="AM385" s="337"/>
      <c r="AN385" s="337"/>
      <c r="AO385" s="337"/>
      <c r="AP385" s="1052"/>
      <c r="AQ385" s="337"/>
      <c r="AR385" s="337"/>
      <c r="AS385" s="337"/>
      <c r="AT385" s="337"/>
      <c r="AU385" s="1052"/>
      <c r="AV385" s="337"/>
      <c r="AW385" s="337"/>
      <c r="AX385" s="337"/>
      <c r="AY385" s="337"/>
      <c r="AZ385" s="1052"/>
      <c r="BA385" s="337"/>
      <c r="BB385" s="337"/>
      <c r="BC385" s="337"/>
      <c r="BD385" s="337"/>
      <c r="BE385" s="1052"/>
      <c r="BF385" s="337"/>
      <c r="BG385" s="337"/>
      <c r="BH385" s="765"/>
      <c r="BI385" s="337"/>
      <c r="BJ385" s="1052"/>
      <c r="BK385" s="337"/>
      <c r="BL385" s="337"/>
      <c r="BM385" s="337"/>
      <c r="BN385" s="337"/>
      <c r="BO385" s="1052"/>
      <c r="BP385" s="1052"/>
      <c r="BQ385" s="1052"/>
      <c r="BR385" s="1052"/>
      <c r="BS385" s="833"/>
    </row>
    <row r="386" spans="1:71" s="24" customFormat="1" ht="15" hidden="1" outlineLevel="1">
      <c r="A386" s="216" t="s">
        <v>132</v>
      </c>
      <c r="B386" s="490"/>
      <c r="C386" s="1053">
        <f t="shared" si="742" ref="C386:AM386">SUM(C382:C385)</f>
        <v>6.29</v>
      </c>
      <c r="D386" s="1053">
        <f t="shared" si="742"/>
        <v>6.26</v>
      </c>
      <c r="E386" s="1053">
        <f t="shared" si="742"/>
        <v>3.28</v>
      </c>
      <c r="F386" s="1053">
        <f t="shared" si="742"/>
        <v>6.21</v>
      </c>
      <c r="G386" s="1053">
        <f t="shared" si="742"/>
        <v>9.4600000000000009</v>
      </c>
      <c r="H386" s="307">
        <f t="shared" si="742"/>
        <v>2.95</v>
      </c>
      <c r="I386" s="307">
        <f t="shared" si="742"/>
        <v>1.9300000000000002</v>
      </c>
      <c r="J386" s="307">
        <f t="shared" si="742"/>
        <v>2.61</v>
      </c>
      <c r="K386" s="307">
        <f t="shared" si="742"/>
        <v>3.0599999999999996</v>
      </c>
      <c r="L386" s="1053">
        <f t="shared" si="742"/>
        <v>10.55</v>
      </c>
      <c r="M386" s="307">
        <f t="shared" si="742"/>
        <v>2.5299999999999998</v>
      </c>
      <c r="N386" s="307">
        <f t="shared" si="742"/>
        <v>2.52</v>
      </c>
      <c r="O386" s="307">
        <f t="shared" si="742"/>
        <v>2.93</v>
      </c>
      <c r="P386" s="307">
        <f t="shared" si="742"/>
        <v>2.89</v>
      </c>
      <c r="Q386" s="1053">
        <f t="shared" si="742"/>
        <v>10.87</v>
      </c>
      <c r="R386" s="307">
        <f t="shared" si="742"/>
        <v>2.3299999999999996</v>
      </c>
      <c r="S386" s="307">
        <f t="shared" si="742"/>
        <v>2.2000000000000002</v>
      </c>
      <c r="T386" s="307">
        <f t="shared" si="742"/>
        <v>2.4000000000000004</v>
      </c>
      <c r="U386" s="307">
        <f t="shared" si="742"/>
        <v>3.1899999999999991</v>
      </c>
      <c r="V386" s="1053">
        <f t="shared" si="742"/>
        <v>10.119999999999999</v>
      </c>
      <c r="W386" s="308">
        <f t="shared" si="742"/>
        <v>2.16</v>
      </c>
      <c r="X386" s="307">
        <f t="shared" si="742"/>
        <v>1.92</v>
      </c>
      <c r="Y386" s="307">
        <f t="shared" si="742"/>
        <v>0.91</v>
      </c>
      <c r="Z386" s="307">
        <f t="shared" si="742"/>
        <v>2.2900000000000009</v>
      </c>
      <c r="AA386" s="1053">
        <f t="shared" si="742"/>
        <v>7.28</v>
      </c>
      <c r="AB386" s="308">
        <f t="shared" si="742"/>
        <v>2.46</v>
      </c>
      <c r="AC386" s="307">
        <f t="shared" si="742"/>
        <v>1.8099999999999998</v>
      </c>
      <c r="AD386" s="307">
        <f t="shared" si="742"/>
        <v>2.54</v>
      </c>
      <c r="AE386" s="307">
        <f t="shared" si="742"/>
        <v>2.1299999999999994</v>
      </c>
      <c r="AF386" s="1053">
        <f t="shared" si="742"/>
        <v>8.94</v>
      </c>
      <c r="AG386" s="308">
        <f t="shared" si="742"/>
        <v>2.83</v>
      </c>
      <c r="AH386" s="307">
        <f t="shared" si="742"/>
        <v>2.02</v>
      </c>
      <c r="AI386" s="307">
        <f t="shared" si="742"/>
        <v>1.43</v>
      </c>
      <c r="AJ386" s="307">
        <f t="shared" si="742"/>
        <v>3.3200000000000003</v>
      </c>
      <c r="AK386" s="1053">
        <f t="shared" si="742"/>
        <v>9.60</v>
      </c>
      <c r="AL386" s="308">
        <f t="shared" si="742"/>
        <v>2.62</v>
      </c>
      <c r="AM386" s="307">
        <f t="shared" si="742"/>
        <v>-0.20</v>
      </c>
      <c r="AN386" s="307">
        <f>SUM(AN382:AN385)</f>
        <v>3.12</v>
      </c>
      <c r="AO386" s="307">
        <f t="shared" si="743" ref="AO386:AP386">SUM(AO382:AO385)</f>
        <v>4.9099999999999993</v>
      </c>
      <c r="AP386" s="1053">
        <f t="shared" si="743"/>
        <v>10.48</v>
      </c>
      <c r="AQ386" s="308">
        <f t="shared" si="744" ref="AQ386">SUM(AQ382:AQ385)</f>
        <v>2.73</v>
      </c>
      <c r="AR386" s="307">
        <f t="shared" si="745" ref="AR386:AW386">SUM(AR382:AR385)</f>
        <v>3.45</v>
      </c>
      <c r="AS386" s="307">
        <f t="shared" si="745"/>
        <v>2.60</v>
      </c>
      <c r="AT386" s="307">
        <f t="shared" si="745"/>
        <v>5.20</v>
      </c>
      <c r="AU386" s="1053">
        <f t="shared" si="745"/>
        <v>13.94</v>
      </c>
      <c r="AV386" s="308">
        <f t="shared" si="745"/>
        <v>4.2200000000000006</v>
      </c>
      <c r="AW386" s="307">
        <f t="shared" si="745"/>
        <v>2.57</v>
      </c>
      <c r="AX386" s="307">
        <f t="shared" si="746" ref="AX386:BC386">SUM(AX382:AX385)</f>
        <v>2.1999999999999997</v>
      </c>
      <c r="AY386" s="307">
        <f t="shared" si="746"/>
        <v>3.40</v>
      </c>
      <c r="AZ386" s="1053">
        <f t="shared" si="746"/>
        <v>12.42</v>
      </c>
      <c r="BA386" s="308">
        <f t="shared" si="746"/>
        <v>4.1100000000000003</v>
      </c>
      <c r="BB386" s="307">
        <f t="shared" si="746"/>
        <v>0.06</v>
      </c>
      <c r="BC386" s="307">
        <f t="shared" si="746"/>
        <v>1.95</v>
      </c>
      <c r="BD386" s="307">
        <f>SUM(BD382:BD385)</f>
        <v>7.01</v>
      </c>
      <c r="BE386" s="1053">
        <f>SUM(BE382:BE385)</f>
        <v>13.13</v>
      </c>
      <c r="BF386" s="308">
        <f>SUM(BF382:BF385)</f>
        <v>4.6899999999999995</v>
      </c>
      <c r="BG386" s="307">
        <f>SUM(BG382:BG385)</f>
        <v>2.5100000000000002</v>
      </c>
      <c r="BH386" s="812">
        <f>SUM(BH382:BH385)</f>
        <v>5.24</v>
      </c>
      <c r="BI386" s="308"/>
      <c r="BJ386" s="1054"/>
      <c r="BK386" s="308"/>
      <c r="BL386" s="308"/>
      <c r="BM386" s="308"/>
      <c r="BN386" s="308"/>
      <c r="BO386" s="1054"/>
      <c r="BP386" s="1054"/>
      <c r="BQ386" s="1054"/>
      <c r="BR386" s="1054"/>
      <c r="BS386" s="833"/>
    </row>
    <row r="387" spans="1:71" s="24" customFormat="1" ht="15" collapsed="1">
      <c r="A387" s="453"/>
      <c r="B387" s="480"/>
      <c r="C387" s="1043"/>
      <c r="D387" s="1043"/>
      <c r="E387" s="1043"/>
      <c r="F387" s="1043"/>
      <c r="G387" s="1043"/>
      <c r="H387" s="860"/>
      <c r="I387" s="860"/>
      <c r="J387" s="860"/>
      <c r="K387" s="860"/>
      <c r="L387" s="1043"/>
      <c r="M387" s="860"/>
      <c r="N387" s="860"/>
      <c r="O387" s="860"/>
      <c r="P387" s="860"/>
      <c r="Q387" s="1043"/>
      <c r="R387" s="860"/>
      <c r="S387" s="860"/>
      <c r="T387" s="860"/>
      <c r="U387" s="860"/>
      <c r="V387" s="1043"/>
      <c r="W387" s="860"/>
      <c r="X387" s="860"/>
      <c r="Y387" s="860"/>
      <c r="Z387" s="860"/>
      <c r="AA387" s="1043"/>
      <c r="AB387" s="860"/>
      <c r="AC387" s="860"/>
      <c r="AD387" s="860"/>
      <c r="AE387" s="860"/>
      <c r="AF387" s="1043"/>
      <c r="AG387" s="860"/>
      <c r="AH387" s="860"/>
      <c r="AI387" s="860"/>
      <c r="AJ387" s="860"/>
      <c r="AK387" s="1043"/>
      <c r="AL387" s="860"/>
      <c r="AM387" s="860"/>
      <c r="AN387" s="860"/>
      <c r="AO387" s="860"/>
      <c r="AP387" s="1043"/>
      <c r="AQ387" s="860"/>
      <c r="AR387" s="860"/>
      <c r="AS387" s="860"/>
      <c r="AT387" s="860"/>
      <c r="AU387" s="1043"/>
      <c r="AV387" s="860"/>
      <c r="AW387" s="860"/>
      <c r="AX387" s="860"/>
      <c r="AY387" s="860"/>
      <c r="AZ387" s="1043"/>
      <c r="BA387" s="860"/>
      <c r="BB387" s="860"/>
      <c r="BC387" s="860"/>
      <c r="BD387" s="860"/>
      <c r="BE387" s="1043"/>
      <c r="BF387" s="860"/>
      <c r="BG387" s="860"/>
      <c r="BH387" s="861"/>
      <c r="BI387" s="860"/>
      <c r="BJ387" s="1043"/>
      <c r="BK387" s="860"/>
      <c r="BL387" s="860"/>
      <c r="BM387" s="860"/>
      <c r="BN387" s="860"/>
      <c r="BO387" s="1043"/>
      <c r="BP387" s="1043"/>
      <c r="BQ387" s="1043"/>
      <c r="BR387" s="1043"/>
      <c r="BS387" s="833"/>
    </row>
    <row r="388" spans="1:71" s="181" customFormat="1" ht="15">
      <c r="A388" s="831" t="s">
        <v>133</v>
      </c>
      <c r="B388" s="831"/>
      <c r="C388" s="862"/>
      <c r="D388" s="862"/>
      <c r="E388" s="862"/>
      <c r="F388" s="862"/>
      <c r="G388" s="862"/>
      <c r="H388" s="862"/>
      <c r="I388" s="862"/>
      <c r="J388" s="862"/>
      <c r="K388" s="862"/>
      <c r="L388" s="862"/>
      <c r="M388" s="862"/>
      <c r="N388" s="862"/>
      <c r="O388" s="862"/>
      <c r="P388" s="862"/>
      <c r="Q388" s="862"/>
      <c r="R388" s="862"/>
      <c r="S388" s="862"/>
      <c r="T388" s="862"/>
      <c r="U388" s="862"/>
      <c r="V388" s="862"/>
      <c r="W388" s="862"/>
      <c r="X388" s="862"/>
      <c r="Y388" s="862"/>
      <c r="Z388" s="862"/>
      <c r="AA388" s="862"/>
      <c r="AB388" s="862"/>
      <c r="AC388" s="862"/>
      <c r="AD388" s="862"/>
      <c r="AE388" s="862"/>
      <c r="AF388" s="862"/>
      <c r="AG388" s="862"/>
      <c r="AH388" s="862"/>
      <c r="AI388" s="862"/>
      <c r="AJ388" s="862"/>
      <c r="AK388" s="862"/>
      <c r="AL388" s="862"/>
      <c r="AM388" s="862"/>
      <c r="AN388" s="862"/>
      <c r="AO388" s="862"/>
      <c r="AP388" s="862"/>
      <c r="AQ388" s="862"/>
      <c r="AR388" s="862"/>
      <c r="AS388" s="862"/>
      <c r="AT388" s="862"/>
      <c r="AU388" s="862"/>
      <c r="AV388" s="862"/>
      <c r="AW388" s="862"/>
      <c r="AX388" s="862"/>
      <c r="AY388" s="862"/>
      <c r="AZ388" s="862"/>
      <c r="BA388" s="862"/>
      <c r="BB388" s="862"/>
      <c r="BC388" s="862"/>
      <c r="BD388" s="862"/>
      <c r="BE388" s="862"/>
      <c r="BF388" s="862"/>
      <c r="BG388" s="862"/>
      <c r="BH388" s="863"/>
      <c r="BI388" s="862"/>
      <c r="BJ388" s="862"/>
      <c r="BK388" s="862"/>
      <c r="BL388" s="862"/>
      <c r="BM388" s="862"/>
      <c r="BN388" s="862"/>
      <c r="BO388" s="862"/>
      <c r="BP388" s="862"/>
      <c r="BQ388" s="862"/>
      <c r="BR388" s="862"/>
      <c r="BS388" s="423"/>
    </row>
    <row r="389" spans="1:71" s="24" customFormat="1" ht="15">
      <c r="A389" s="87" t="s">
        <v>134</v>
      </c>
      <c r="B389" s="483"/>
      <c r="C389" s="1055">
        <f t="shared" si="747" ref="C389:AM389">C343</f>
        <v>21418</v>
      </c>
      <c r="D389" s="1055">
        <f t="shared" si="747"/>
        <v>21432</v>
      </c>
      <c r="E389" s="1055">
        <f t="shared" si="747"/>
        <v>22090</v>
      </c>
      <c r="F389" s="1055">
        <f t="shared" si="747"/>
        <v>22357</v>
      </c>
      <c r="G389" s="1055">
        <f t="shared" si="747"/>
        <v>22637</v>
      </c>
      <c r="H389" s="102">
        <f t="shared" si="747"/>
        <v>5823</v>
      </c>
      <c r="I389" s="102">
        <f t="shared" si="747"/>
        <v>5928</v>
      </c>
      <c r="J389" s="102">
        <f t="shared" si="747"/>
        <v>5983</v>
      </c>
      <c r="K389" s="102">
        <f t="shared" si="747"/>
        <v>5979</v>
      </c>
      <c r="L389" s="1055">
        <f t="shared" si="747"/>
        <v>23713</v>
      </c>
      <c r="M389" s="102">
        <f t="shared" si="747"/>
        <v>5888</v>
      </c>
      <c r="N389" s="102">
        <f t="shared" si="747"/>
        <v>5931</v>
      </c>
      <c r="O389" s="102">
        <f t="shared" si="747"/>
        <v>6032</v>
      </c>
      <c r="P389" s="102">
        <f t="shared" si="747"/>
        <v>6023</v>
      </c>
      <c r="Q389" s="1055">
        <f t="shared" si="747"/>
        <v>23874</v>
      </c>
      <c r="R389" s="102">
        <f t="shared" si="747"/>
        <v>5981</v>
      </c>
      <c r="S389" s="102">
        <f t="shared" si="747"/>
        <v>6067</v>
      </c>
      <c r="T389" s="102">
        <f t="shared" si="747"/>
        <v>6209</v>
      </c>
      <c r="U389" s="102">
        <f t="shared" si="747"/>
        <v>6277</v>
      </c>
      <c r="V389" s="1055">
        <f t="shared" si="747"/>
        <v>24534</v>
      </c>
      <c r="W389" s="102">
        <f t="shared" si="747"/>
        <v>6183</v>
      </c>
      <c r="X389" s="102">
        <f t="shared" si="747"/>
        <v>6351</v>
      </c>
      <c r="Y389" s="102">
        <f t="shared" si="747"/>
        <v>6523</v>
      </c>
      <c r="Z389" s="102">
        <f t="shared" si="747"/>
        <v>6626</v>
      </c>
      <c r="AA389" s="1055">
        <f t="shared" si="747"/>
        <v>25683</v>
      </c>
      <c r="AB389" s="102">
        <f t="shared" si="747"/>
        <v>6537</v>
      </c>
      <c r="AC389" s="102">
        <f t="shared" si="747"/>
        <v>6695</v>
      </c>
      <c r="AD389" s="102">
        <f t="shared" si="747"/>
        <v>6882</v>
      </c>
      <c r="AE389" s="102">
        <f t="shared" si="747"/>
        <v>6945</v>
      </c>
      <c r="AF389" s="1055">
        <f t="shared" si="747"/>
        <v>27059</v>
      </c>
      <c r="AG389" s="102">
        <f t="shared" si="747"/>
        <v>6855</v>
      </c>
      <c r="AH389" s="102">
        <f t="shared" si="747"/>
        <v>6988</v>
      </c>
      <c r="AI389" s="102">
        <f t="shared" si="747"/>
        <v>7179</v>
      </c>
      <c r="AJ389" s="102">
        <f t="shared" si="747"/>
        <v>7250</v>
      </c>
      <c r="AK389" s="1055">
        <f t="shared" si="747"/>
        <v>28272</v>
      </c>
      <c r="AL389" s="102">
        <f t="shared" si="747"/>
        <v>7229</v>
      </c>
      <c r="AM389" s="102">
        <f t="shared" si="747"/>
        <v>6955</v>
      </c>
      <c r="AN389" s="102">
        <f>AN343</f>
        <v>7380</v>
      </c>
      <c r="AO389" s="102">
        <f t="shared" si="748" ref="AO389:AQ389">AO343</f>
        <v>7480</v>
      </c>
      <c r="AP389" s="1055">
        <f t="shared" si="748"/>
        <v>29044</v>
      </c>
      <c r="AQ389" s="102">
        <f t="shared" si="748"/>
        <v>7386</v>
      </c>
      <c r="AR389" s="102">
        <f t="shared" si="749" ref="AR389:AU390">AR343</f>
        <v>7616</v>
      </c>
      <c r="AS389" s="102">
        <f t="shared" si="749"/>
        <v>7829</v>
      </c>
      <c r="AT389" s="102">
        <f t="shared" si="749"/>
        <v>8024</v>
      </c>
      <c r="AU389" s="1055">
        <f t="shared" si="749"/>
        <v>30855</v>
      </c>
      <c r="AV389" s="102">
        <f t="shared" si="750" ref="AV389:AX390">AV343</f>
        <v>8014</v>
      </c>
      <c r="AW389" s="102">
        <f t="shared" si="750"/>
        <v>8317</v>
      </c>
      <c r="AX389" s="102">
        <f t="shared" si="750"/>
        <v>8615</v>
      </c>
      <c r="AY389" s="102">
        <f t="shared" si="751" ref="AY389:BA390">AY343</f>
        <v>8817</v>
      </c>
      <c r="AZ389" s="1055">
        <f t="shared" si="751"/>
        <v>33763</v>
      </c>
      <c r="BA389" s="102">
        <f t="shared" si="751"/>
        <v>8854</v>
      </c>
      <c r="BB389" s="102">
        <f t="shared" si="752" ref="BB389:BE390">BB343</f>
        <v>9216</v>
      </c>
      <c r="BC389" s="102">
        <f t="shared" si="752"/>
        <v>9718</v>
      </c>
      <c r="BD389" s="102">
        <f t="shared" si="752"/>
        <v>9973</v>
      </c>
      <c r="BE389" s="1055">
        <f t="shared" si="752"/>
        <v>37761</v>
      </c>
      <c r="BF389" s="102">
        <f t="shared" si="753" ref="BF389:BH390">BF343</f>
        <v>10126</v>
      </c>
      <c r="BG389" s="102">
        <f t="shared" si="753"/>
        <v>10243</v>
      </c>
      <c r="BH389" s="766">
        <f t="shared" si="753"/>
        <v>10704</v>
      </c>
      <c r="BI389" s="484">
        <f>BI39</f>
        <v>10189.502906</v>
      </c>
      <c r="BJ389" s="1046">
        <f>SUM(BF389,BG389,BH389,BI389)</f>
        <v>41262.502906000002</v>
      </c>
      <c r="BK389" s="484">
        <f>BK39</f>
        <v>10806.459526000001</v>
      </c>
      <c r="BL389" s="484">
        <f>BL39</f>
        <v>11569.242586</v>
      </c>
      <c r="BM389" s="484">
        <f>BM39</f>
        <v>11856.311720000002</v>
      </c>
      <c r="BN389" s="484">
        <f>BN39</f>
        <v>10618.62828554</v>
      </c>
      <c r="BO389" s="1046">
        <f>SUM(BK389,BL389,BM389,BN389)</f>
        <v>44850.642117539996</v>
      </c>
      <c r="BP389" s="1046">
        <f>BP39</f>
        <v>45057.243704854794</v>
      </c>
      <c r="BQ389" s="1046">
        <f>BQ39</f>
        <v>46669.196112054196</v>
      </c>
      <c r="BR389" s="1046">
        <f>BR39</f>
        <v>48359.394029380543</v>
      </c>
      <c r="BS389" s="833"/>
    </row>
    <row r="390" spans="1:71" s="29" customFormat="1" ht="15">
      <c r="A390" s="263" t="s">
        <v>135</v>
      </c>
      <c r="B390" s="837"/>
      <c r="C390" s="993">
        <f t="shared" si="754" ref="C390:AM390">C344</f>
        <v>2776</v>
      </c>
      <c r="D390" s="993">
        <f t="shared" si="754"/>
        <v>3059</v>
      </c>
      <c r="E390" s="993">
        <f t="shared" si="754"/>
        <v>2879</v>
      </c>
      <c r="F390" s="993">
        <f t="shared" si="754"/>
        <v>2889</v>
      </c>
      <c r="G390" s="993">
        <f t="shared" si="754"/>
        <v>2716</v>
      </c>
      <c r="H390" s="265">
        <f t="shared" si="754"/>
        <v>736</v>
      </c>
      <c r="I390" s="265">
        <f t="shared" si="754"/>
        <v>695</v>
      </c>
      <c r="J390" s="265">
        <f t="shared" si="754"/>
        <v>719</v>
      </c>
      <c r="K390" s="265">
        <f t="shared" si="754"/>
        <v>637</v>
      </c>
      <c r="L390" s="993">
        <f t="shared" si="754"/>
        <v>2787</v>
      </c>
      <c r="M390" s="265">
        <f t="shared" si="754"/>
        <v>592</v>
      </c>
      <c r="N390" s="265">
        <f t="shared" si="754"/>
        <v>632</v>
      </c>
      <c r="O390" s="265">
        <f t="shared" si="754"/>
        <v>614</v>
      </c>
      <c r="P390" s="265">
        <f t="shared" si="754"/>
        <v>541</v>
      </c>
      <c r="Q390" s="993">
        <f t="shared" si="754"/>
        <v>2379</v>
      </c>
      <c r="R390" s="265">
        <f t="shared" si="754"/>
        <v>544</v>
      </c>
      <c r="S390" s="103">
        <f t="shared" si="754"/>
        <v>549</v>
      </c>
      <c r="T390" s="265">
        <f t="shared" si="754"/>
        <v>582</v>
      </c>
      <c r="U390" s="265">
        <f t="shared" si="754"/>
        <v>627</v>
      </c>
      <c r="V390" s="993">
        <f t="shared" si="754"/>
        <v>2302</v>
      </c>
      <c r="W390" s="265">
        <f t="shared" si="754"/>
        <v>610</v>
      </c>
      <c r="X390" s="103">
        <f t="shared" si="754"/>
        <v>598</v>
      </c>
      <c r="Y390" s="265">
        <f t="shared" si="754"/>
        <v>588</v>
      </c>
      <c r="Z390" s="265">
        <f t="shared" si="754"/>
        <v>601</v>
      </c>
      <c r="AA390" s="1056">
        <f t="shared" si="754"/>
        <v>2397</v>
      </c>
      <c r="AB390" s="265">
        <f t="shared" si="754"/>
        <v>603</v>
      </c>
      <c r="AC390" s="103">
        <f t="shared" si="754"/>
        <v>595</v>
      </c>
      <c r="AD390" s="265">
        <f t="shared" si="754"/>
        <v>646</v>
      </c>
      <c r="AE390" s="265">
        <f t="shared" si="754"/>
        <v>630</v>
      </c>
      <c r="AF390" s="1056">
        <f t="shared" si="754"/>
        <v>2474</v>
      </c>
      <c r="AG390" s="265">
        <f t="shared" si="754"/>
        <v>582</v>
      </c>
      <c r="AH390" s="103">
        <f t="shared" si="754"/>
        <v>648</v>
      </c>
      <c r="AI390" s="265">
        <f t="shared" si="754"/>
        <v>622</v>
      </c>
      <c r="AJ390" s="265">
        <f t="shared" si="754"/>
        <v>616</v>
      </c>
      <c r="AK390" s="1056">
        <f t="shared" si="754"/>
        <v>2468</v>
      </c>
      <c r="AL390" s="265">
        <f t="shared" si="754"/>
        <v>611</v>
      </c>
      <c r="AM390" s="103">
        <f t="shared" si="754"/>
        <v>268</v>
      </c>
      <c r="AN390" s="265">
        <f>AN344</f>
        <v>671</v>
      </c>
      <c r="AO390" s="265">
        <f t="shared" si="755" ref="AO390:AQ390">AO344</f>
        <v>677</v>
      </c>
      <c r="AP390" s="1056">
        <f t="shared" si="755"/>
        <v>2227</v>
      </c>
      <c r="AQ390" s="265">
        <f t="shared" si="755"/>
        <v>701</v>
      </c>
      <c r="AR390" s="103">
        <f t="shared" si="749"/>
        <v>818</v>
      </c>
      <c r="AS390" s="265">
        <f t="shared" si="749"/>
        <v>771</v>
      </c>
      <c r="AT390" s="265">
        <f t="shared" si="749"/>
        <v>743</v>
      </c>
      <c r="AU390" s="1056">
        <f t="shared" si="749"/>
        <v>3033</v>
      </c>
      <c r="AV390" s="265">
        <f t="shared" si="750"/>
        <v>637</v>
      </c>
      <c r="AW390" s="103">
        <f t="shared" si="750"/>
        <v>707</v>
      </c>
      <c r="AX390" s="265">
        <f t="shared" si="750"/>
        <v>593</v>
      </c>
      <c r="AY390" s="265">
        <f t="shared" si="751"/>
        <v>625</v>
      </c>
      <c r="AZ390" s="1056">
        <f t="shared" si="751"/>
        <v>2562</v>
      </c>
      <c r="BA390" s="265">
        <f t="shared" si="751"/>
        <v>663</v>
      </c>
      <c r="BB390" s="103">
        <f t="shared" si="752"/>
        <v>712</v>
      </c>
      <c r="BC390" s="265">
        <f t="shared" si="752"/>
        <v>769</v>
      </c>
      <c r="BD390" s="265">
        <f t="shared" si="752"/>
        <v>778</v>
      </c>
      <c r="BE390" s="1056">
        <f t="shared" si="752"/>
        <v>2922</v>
      </c>
      <c r="BF390" s="265">
        <f t="shared" si="753"/>
        <v>846</v>
      </c>
      <c r="BG390" s="103">
        <f t="shared" si="753"/>
        <v>885</v>
      </c>
      <c r="BH390" s="745">
        <f t="shared" si="753"/>
        <v>904</v>
      </c>
      <c r="BI390" s="210">
        <f>BI162</f>
        <v>865.11915956284156</v>
      </c>
      <c r="BJ390" s="1057">
        <f>SUM(BF390,BG390,BH390,BI390)</f>
        <v>3500.1191595628416</v>
      </c>
      <c r="BK390" s="210">
        <f>BK162</f>
        <v>754.31863356164388</v>
      </c>
      <c r="BL390" s="210">
        <f>BL162</f>
        <v>634.53623483561648</v>
      </c>
      <c r="BM390" s="210">
        <f>BM162</f>
        <v>713.2906947945205</v>
      </c>
      <c r="BN390" s="210">
        <f>BN162</f>
        <v>884.83913602191774</v>
      </c>
      <c r="BO390" s="1057">
        <f>SUM(BK390,BL390,BM390,BN390)</f>
        <v>2986.9846992136981</v>
      </c>
      <c r="BP390" s="1057">
        <f>BP162</f>
        <v>3714.3965448000004</v>
      </c>
      <c r="BQ390" s="1057">
        <f>BQ162</f>
        <v>3751.5405102479999</v>
      </c>
      <c r="BR390" s="1057">
        <f>BR162</f>
        <v>3789.0559153504801</v>
      </c>
      <c r="BS390" s="42"/>
    </row>
    <row r="391" spans="1:71" s="29" customFormat="1" ht="15">
      <c r="A391" s="263" t="s">
        <v>136</v>
      </c>
      <c r="B391" s="837"/>
      <c r="C391" s="993">
        <f t="shared" si="756" ref="C391:AM391">C346</f>
        <v>17</v>
      </c>
      <c r="D391" s="993">
        <f t="shared" si="756"/>
        <v>264</v>
      </c>
      <c r="E391" s="993">
        <f t="shared" si="756"/>
        <v>55</v>
      </c>
      <c r="F391" s="993">
        <f t="shared" si="756"/>
        <v>51</v>
      </c>
      <c r="G391" s="993">
        <f t="shared" si="756"/>
        <v>166</v>
      </c>
      <c r="H391" s="265">
        <f t="shared" si="756"/>
        <v>1</v>
      </c>
      <c r="I391" s="265">
        <f t="shared" si="756"/>
        <v>16</v>
      </c>
      <c r="J391" s="265">
        <f t="shared" si="756"/>
        <v>40</v>
      </c>
      <c r="K391" s="265">
        <f t="shared" si="756"/>
        <v>22</v>
      </c>
      <c r="L391" s="993">
        <f t="shared" si="756"/>
        <v>79</v>
      </c>
      <c r="M391" s="265">
        <f t="shared" si="756"/>
        <v>10</v>
      </c>
      <c r="N391" s="265">
        <f t="shared" si="756"/>
        <v>10</v>
      </c>
      <c r="O391" s="265">
        <f t="shared" si="756"/>
        <v>15</v>
      </c>
      <c r="P391" s="265">
        <f t="shared" si="756"/>
        <v>-32</v>
      </c>
      <c r="Q391" s="993">
        <f t="shared" si="756"/>
        <v>3</v>
      </c>
      <c r="R391" s="265">
        <f t="shared" si="756"/>
        <v>-9</v>
      </c>
      <c r="S391" s="103">
        <f t="shared" si="756"/>
        <v>19</v>
      </c>
      <c r="T391" s="265">
        <f t="shared" si="756"/>
        <v>23</v>
      </c>
      <c r="U391" s="265">
        <f t="shared" si="756"/>
        <v>35</v>
      </c>
      <c r="V391" s="993">
        <f t="shared" si="756"/>
        <v>68</v>
      </c>
      <c r="W391" s="265">
        <f t="shared" si="756"/>
        <v>5</v>
      </c>
      <c r="X391" s="103">
        <f t="shared" si="756"/>
        <v>80</v>
      </c>
      <c r="Y391" s="265">
        <f t="shared" si="756"/>
        <v>61</v>
      </c>
      <c r="Z391" s="265">
        <f t="shared" si="756"/>
        <v>70</v>
      </c>
      <c r="AA391" s="1056">
        <f t="shared" si="756"/>
        <v>216</v>
      </c>
      <c r="AB391" s="265">
        <f t="shared" si="756"/>
        <v>-11</v>
      </c>
      <c r="AC391" s="103">
        <f t="shared" si="756"/>
        <v>36</v>
      </c>
      <c r="AD391" s="265">
        <f t="shared" si="756"/>
        <v>29</v>
      </c>
      <c r="AE391" s="265">
        <f t="shared" si="756"/>
        <v>60</v>
      </c>
      <c r="AF391" s="1056">
        <f t="shared" si="756"/>
        <v>114</v>
      </c>
      <c r="AG391" s="265">
        <f t="shared" si="756"/>
        <v>53</v>
      </c>
      <c r="AH391" s="103">
        <f t="shared" si="756"/>
        <v>25</v>
      </c>
      <c r="AI391" s="265">
        <f t="shared" si="756"/>
        <v>23</v>
      </c>
      <c r="AJ391" s="265">
        <f t="shared" si="756"/>
        <v>12</v>
      </c>
      <c r="AK391" s="1056">
        <f t="shared" si="756"/>
        <v>113</v>
      </c>
      <c r="AL391" s="265">
        <f t="shared" si="756"/>
        <v>-98</v>
      </c>
      <c r="AM391" s="103">
        <f t="shared" si="756"/>
        <v>13</v>
      </c>
      <c r="AN391" s="265">
        <f>AN346</f>
        <v>37</v>
      </c>
      <c r="AO391" s="265">
        <f t="shared" si="757" ref="AO391:AQ391">AO346</f>
        <v>50</v>
      </c>
      <c r="AP391" s="1056">
        <f t="shared" si="757"/>
        <v>2</v>
      </c>
      <c r="AQ391" s="265">
        <f t="shared" si="757"/>
        <v>44</v>
      </c>
      <c r="AR391" s="103">
        <f t="shared" si="758" ref="AR391:AW391">AR346</f>
        <v>61</v>
      </c>
      <c r="AS391" s="265">
        <f t="shared" si="758"/>
        <v>8</v>
      </c>
      <c r="AT391" s="265">
        <f t="shared" si="758"/>
        <v>58</v>
      </c>
      <c r="AU391" s="1056">
        <f t="shared" si="758"/>
        <v>171</v>
      </c>
      <c r="AV391" s="265">
        <f t="shared" si="758"/>
        <v>-23</v>
      </c>
      <c r="AW391" s="103">
        <f t="shared" si="758"/>
        <v>-95</v>
      </c>
      <c r="AX391" s="265">
        <f t="shared" si="759" ref="AX391:BC391">AX346</f>
        <v>-93</v>
      </c>
      <c r="AY391" s="265">
        <f t="shared" si="759"/>
        <v>7</v>
      </c>
      <c r="AZ391" s="1056">
        <f t="shared" si="759"/>
        <v>-204</v>
      </c>
      <c r="BA391" s="265">
        <f t="shared" si="759"/>
        <v>6</v>
      </c>
      <c r="BB391" s="103">
        <f t="shared" si="759"/>
        <v>-35</v>
      </c>
      <c r="BC391" s="265">
        <f t="shared" si="759"/>
        <v>-65</v>
      </c>
      <c r="BD391" s="265">
        <f>BD346</f>
        <v>-11</v>
      </c>
      <c r="BE391" s="1056">
        <f>BE346</f>
        <v>-105</v>
      </c>
      <c r="BF391" s="265">
        <f>BF346</f>
        <v>35</v>
      </c>
      <c r="BG391" s="103">
        <f>BG346</f>
        <v>-65</v>
      </c>
      <c r="BH391" s="745">
        <f>BH346</f>
        <v>55</v>
      </c>
      <c r="BI391" s="210">
        <f>BI164</f>
        <v>15</v>
      </c>
      <c r="BJ391" s="1057">
        <f>SUM(BF391,BG391,BH391,BI391)</f>
        <v>40</v>
      </c>
      <c r="BK391" s="210">
        <f>BK164</f>
        <v>15</v>
      </c>
      <c r="BL391" s="210">
        <f>BL164</f>
        <v>15</v>
      </c>
      <c r="BM391" s="210">
        <f>BM164</f>
        <v>15</v>
      </c>
      <c r="BN391" s="210">
        <f>BN164</f>
        <v>15</v>
      </c>
      <c r="BO391" s="1057">
        <f>SUM(BK391,BL391,BM391,BN391)</f>
        <v>60</v>
      </c>
      <c r="BP391" s="1057">
        <f>BP164</f>
        <v>60</v>
      </c>
      <c r="BQ391" s="1057">
        <f>BQ164</f>
        <v>60</v>
      </c>
      <c r="BR391" s="1057">
        <f>BR164</f>
        <v>60</v>
      </c>
      <c r="BS391" s="42"/>
    </row>
    <row r="392" spans="1:71" s="24" customFormat="1" ht="15">
      <c r="A392" s="589" t="s">
        <v>137</v>
      </c>
      <c r="B392" s="478"/>
      <c r="C392" s="996">
        <f t="shared" si="760" ref="C392:AM392">C345+C347</f>
        <v>469</v>
      </c>
      <c r="D392" s="996">
        <f t="shared" si="760"/>
        <v>357</v>
      </c>
      <c r="E392" s="996">
        <f t="shared" si="760"/>
        <v>422</v>
      </c>
      <c r="F392" s="996">
        <f t="shared" si="760"/>
        <v>443</v>
      </c>
      <c r="G392" s="996">
        <f t="shared" si="760"/>
        <v>672</v>
      </c>
      <c r="H392" s="205">
        <f t="shared" si="760"/>
        <v>148</v>
      </c>
      <c r="I392" s="205">
        <f t="shared" si="760"/>
        <v>146</v>
      </c>
      <c r="J392" s="205">
        <f t="shared" si="760"/>
        <v>144</v>
      </c>
      <c r="K392" s="205">
        <f t="shared" si="760"/>
        <v>145</v>
      </c>
      <c r="L392" s="996">
        <f t="shared" si="760"/>
        <v>583</v>
      </c>
      <c r="M392" s="205">
        <f t="shared" si="760"/>
        <v>139</v>
      </c>
      <c r="N392" s="205">
        <f t="shared" si="760"/>
        <v>137</v>
      </c>
      <c r="O392" s="205">
        <f t="shared" si="760"/>
        <v>137</v>
      </c>
      <c r="P392" s="205">
        <f t="shared" si="760"/>
        <v>146</v>
      </c>
      <c r="Q392" s="996">
        <f t="shared" si="760"/>
        <v>559</v>
      </c>
      <c r="R392" s="205">
        <f t="shared" si="760"/>
        <v>170</v>
      </c>
      <c r="S392" s="205">
        <f t="shared" si="760"/>
        <v>150</v>
      </c>
      <c r="T392" s="205">
        <f t="shared" si="760"/>
        <v>147</v>
      </c>
      <c r="U392" s="205">
        <f t="shared" si="760"/>
        <v>254</v>
      </c>
      <c r="V392" s="996">
        <f t="shared" si="760"/>
        <v>721</v>
      </c>
      <c r="W392" s="205">
        <f t="shared" si="760"/>
        <v>144</v>
      </c>
      <c r="X392" s="205">
        <f t="shared" si="760"/>
        <v>155</v>
      </c>
      <c r="Y392" s="205">
        <f t="shared" si="760"/>
        <v>153</v>
      </c>
      <c r="Z392" s="205">
        <f t="shared" si="760"/>
        <v>154</v>
      </c>
      <c r="AA392" s="996">
        <f t="shared" si="760"/>
        <v>606</v>
      </c>
      <c r="AB392" s="205">
        <f t="shared" si="760"/>
        <v>157</v>
      </c>
      <c r="AC392" s="205">
        <f t="shared" si="760"/>
        <v>151</v>
      </c>
      <c r="AD392" s="205">
        <f t="shared" si="760"/>
        <v>166</v>
      </c>
      <c r="AE392" s="205">
        <f t="shared" si="760"/>
        <v>161</v>
      </c>
      <c r="AF392" s="996">
        <f t="shared" si="760"/>
        <v>635</v>
      </c>
      <c r="AG392" s="205">
        <f t="shared" si="760"/>
        <v>181</v>
      </c>
      <c r="AH392" s="205">
        <f t="shared" si="760"/>
        <v>173</v>
      </c>
      <c r="AI392" s="205">
        <f t="shared" si="760"/>
        <v>189</v>
      </c>
      <c r="AJ392" s="205">
        <f t="shared" si="760"/>
        <v>185</v>
      </c>
      <c r="AK392" s="996">
        <f t="shared" si="760"/>
        <v>728</v>
      </c>
      <c r="AL392" s="205">
        <f t="shared" si="760"/>
        <v>166</v>
      </c>
      <c r="AM392" s="205">
        <f t="shared" si="760"/>
        <v>165</v>
      </c>
      <c r="AN392" s="205">
        <f>AN345+AN347</f>
        <v>187</v>
      </c>
      <c r="AO392" s="205">
        <f t="shared" si="761" ref="AO392:AQ392">AO345+AO347</f>
        <v>190</v>
      </c>
      <c r="AP392" s="996">
        <f t="shared" si="761"/>
        <v>708</v>
      </c>
      <c r="AQ392" s="205">
        <f t="shared" si="761"/>
        <v>182</v>
      </c>
      <c r="AR392" s="205">
        <f t="shared" si="762" ref="AR392:AW392">AR345+AR347</f>
        <v>192</v>
      </c>
      <c r="AS392" s="205">
        <f t="shared" si="762"/>
        <v>197</v>
      </c>
      <c r="AT392" s="205">
        <f t="shared" si="762"/>
        <v>186</v>
      </c>
      <c r="AU392" s="996">
        <f t="shared" si="762"/>
        <v>757</v>
      </c>
      <c r="AV392" s="205">
        <f t="shared" si="762"/>
        <v>181</v>
      </c>
      <c r="AW392" s="205">
        <f t="shared" si="762"/>
        <v>207</v>
      </c>
      <c r="AX392" s="205">
        <f t="shared" si="763" ref="AX392:BC392">AX345+AX347</f>
        <v>188</v>
      </c>
      <c r="AY392" s="205">
        <f t="shared" si="763"/>
        <v>187</v>
      </c>
      <c r="AZ392" s="996">
        <f t="shared" si="763"/>
        <v>763</v>
      </c>
      <c r="BA392" s="205">
        <f t="shared" si="763"/>
        <v>181</v>
      </c>
      <c r="BB392" s="205">
        <f t="shared" si="763"/>
        <v>205</v>
      </c>
      <c r="BC392" s="205">
        <f t="shared" si="763"/>
        <v>213</v>
      </c>
      <c r="BD392" s="205">
        <f>BD345+BD347</f>
        <v>187</v>
      </c>
      <c r="BE392" s="996">
        <f>BE345+BE347</f>
        <v>786</v>
      </c>
      <c r="BF392" s="205">
        <f>BF345+BF347</f>
        <v>221</v>
      </c>
      <c r="BG392" s="205">
        <f>BG345+BG347</f>
        <v>220</v>
      </c>
      <c r="BH392" s="658">
        <f>BH345+BH347</f>
        <v>241</v>
      </c>
      <c r="BI392" s="205">
        <f>BI169</f>
        <v>196.35</v>
      </c>
      <c r="BJ392" s="996">
        <f>SUM(BF392,BG392,BH392,BI392)</f>
        <v>878.35</v>
      </c>
      <c r="BK392" s="205">
        <f>BK169</f>
        <v>232.05</v>
      </c>
      <c r="BL392" s="205">
        <f>BL169</f>
        <v>231</v>
      </c>
      <c r="BM392" s="205">
        <f>BM169</f>
        <v>253.05</v>
      </c>
      <c r="BN392" s="205">
        <f>BN169</f>
        <v>206.1675</v>
      </c>
      <c r="BO392" s="996">
        <f>SUM(BK392,BL392,BM392,BN392)</f>
        <v>922.2675</v>
      </c>
      <c r="BP392" s="996">
        <f>BP169</f>
        <v>968.38087500000006</v>
      </c>
      <c r="BQ392" s="996">
        <f>BQ169</f>
        <v>1016.7999187500001</v>
      </c>
      <c r="BR392" s="996">
        <f>BR169</f>
        <v>1067.6399146875001</v>
      </c>
      <c r="BS392" s="833"/>
    </row>
    <row r="393" spans="1:71" s="181" customFormat="1" ht="15">
      <c r="A393" s="62" t="s">
        <v>138</v>
      </c>
      <c r="B393" s="479"/>
      <c r="C393" s="997">
        <f t="shared" si="764" ref="C393:AM393">SUM(C389:C392)</f>
        <v>24680</v>
      </c>
      <c r="D393" s="997">
        <f t="shared" si="764"/>
        <v>25112</v>
      </c>
      <c r="E393" s="997">
        <f t="shared" si="764"/>
        <v>25446</v>
      </c>
      <c r="F393" s="997">
        <f t="shared" si="764"/>
        <v>25740</v>
      </c>
      <c r="G393" s="997">
        <f t="shared" si="764"/>
        <v>26191</v>
      </c>
      <c r="H393" s="193">
        <f t="shared" si="764"/>
        <v>6708</v>
      </c>
      <c r="I393" s="193">
        <f t="shared" si="764"/>
        <v>6785</v>
      </c>
      <c r="J393" s="193">
        <f t="shared" si="764"/>
        <v>6886</v>
      </c>
      <c r="K393" s="193">
        <f t="shared" si="764"/>
        <v>6783</v>
      </c>
      <c r="L393" s="997">
        <f t="shared" si="764"/>
        <v>27162</v>
      </c>
      <c r="M393" s="193">
        <f t="shared" si="764"/>
        <v>6629</v>
      </c>
      <c r="N393" s="193">
        <f t="shared" si="764"/>
        <v>6710</v>
      </c>
      <c r="O393" s="193">
        <f t="shared" si="764"/>
        <v>6798</v>
      </c>
      <c r="P393" s="193">
        <f t="shared" si="764"/>
        <v>6678</v>
      </c>
      <c r="Q393" s="997">
        <f t="shared" si="764"/>
        <v>26815</v>
      </c>
      <c r="R393" s="193">
        <f t="shared" si="764"/>
        <v>6686</v>
      </c>
      <c r="S393" s="193">
        <f t="shared" si="764"/>
        <v>6785</v>
      </c>
      <c r="T393" s="193">
        <f t="shared" si="764"/>
        <v>6961</v>
      </c>
      <c r="U393" s="193">
        <f t="shared" si="764"/>
        <v>7193</v>
      </c>
      <c r="V393" s="997">
        <f t="shared" si="764"/>
        <v>27625</v>
      </c>
      <c r="W393" s="193">
        <f t="shared" si="764"/>
        <v>6942</v>
      </c>
      <c r="X393" s="193">
        <f t="shared" si="764"/>
        <v>7184</v>
      </c>
      <c r="Y393" s="193">
        <f t="shared" si="764"/>
        <v>7325</v>
      </c>
      <c r="Z393" s="193">
        <f t="shared" si="764"/>
        <v>7451</v>
      </c>
      <c r="AA393" s="997">
        <f t="shared" si="764"/>
        <v>28902</v>
      </c>
      <c r="AB393" s="193">
        <f t="shared" si="764"/>
        <v>7286</v>
      </c>
      <c r="AC393" s="193">
        <f t="shared" si="764"/>
        <v>7477</v>
      </c>
      <c r="AD393" s="193">
        <f t="shared" si="764"/>
        <v>7723</v>
      </c>
      <c r="AE393" s="193">
        <f t="shared" si="764"/>
        <v>7796</v>
      </c>
      <c r="AF393" s="997">
        <f t="shared" si="764"/>
        <v>30282</v>
      </c>
      <c r="AG393" s="193">
        <f t="shared" si="764"/>
        <v>7671</v>
      </c>
      <c r="AH393" s="193">
        <f t="shared" si="764"/>
        <v>7834</v>
      </c>
      <c r="AI393" s="193">
        <f t="shared" si="764"/>
        <v>8013</v>
      </c>
      <c r="AJ393" s="193">
        <f t="shared" si="764"/>
        <v>8063</v>
      </c>
      <c r="AK393" s="997">
        <f t="shared" si="764"/>
        <v>31581</v>
      </c>
      <c r="AL393" s="193">
        <f t="shared" si="764"/>
        <v>7908</v>
      </c>
      <c r="AM393" s="193">
        <f t="shared" si="764"/>
        <v>7401</v>
      </c>
      <c r="AN393" s="193">
        <f>SUM(AN389:AN392)</f>
        <v>8275</v>
      </c>
      <c r="AO393" s="193">
        <f t="shared" si="765" ref="AO393:AP393">SUM(AO389:AO392)</f>
        <v>8397</v>
      </c>
      <c r="AP393" s="997">
        <f t="shared" si="765"/>
        <v>31981</v>
      </c>
      <c r="AQ393" s="193">
        <f t="shared" si="766" ref="AQ393">SUM(AQ389:AQ392)</f>
        <v>8313</v>
      </c>
      <c r="AR393" s="193">
        <f t="shared" si="767" ref="AR393:AW393">SUM(AR389:AR392)</f>
        <v>8687</v>
      </c>
      <c r="AS393" s="193">
        <f t="shared" si="767"/>
        <v>8805</v>
      </c>
      <c r="AT393" s="193">
        <f t="shared" si="767"/>
        <v>9011</v>
      </c>
      <c r="AU393" s="997">
        <f t="shared" si="767"/>
        <v>34816</v>
      </c>
      <c r="AV393" s="193">
        <f t="shared" si="767"/>
        <v>8809</v>
      </c>
      <c r="AW393" s="193">
        <f t="shared" si="767"/>
        <v>9136</v>
      </c>
      <c r="AX393" s="193">
        <f t="shared" si="768" ref="AX393:BJ393">SUM(AX389:AX392)</f>
        <v>9303</v>
      </c>
      <c r="AY393" s="193">
        <f t="shared" si="768"/>
        <v>9636</v>
      </c>
      <c r="AZ393" s="997">
        <f t="shared" si="768"/>
        <v>36884</v>
      </c>
      <c r="BA393" s="193">
        <f t="shared" si="769" ref="BA393:BI393">SUM(BA389:BA392)</f>
        <v>9704</v>
      </c>
      <c r="BB393" s="193">
        <f t="shared" si="769"/>
        <v>10098</v>
      </c>
      <c r="BC393" s="193">
        <f t="shared" si="769"/>
        <v>10635</v>
      </c>
      <c r="BD393" s="193">
        <f t="shared" si="769"/>
        <v>10927</v>
      </c>
      <c r="BE393" s="997">
        <f t="shared" si="769"/>
        <v>41364</v>
      </c>
      <c r="BF393" s="193">
        <f>SUM(BF389:BF392)</f>
        <v>11228</v>
      </c>
      <c r="BG393" s="193">
        <f>SUM(BG389:BG392)</f>
        <v>11283</v>
      </c>
      <c r="BH393" s="747">
        <f>SUM(BH389:BH392)</f>
        <v>11904</v>
      </c>
      <c r="BI393" s="194">
        <f t="shared" si="769"/>
        <v>11265.972065562843</v>
      </c>
      <c r="BJ393" s="998">
        <f t="shared" si="768"/>
        <v>45680.972065562841</v>
      </c>
      <c r="BK393" s="194">
        <f t="shared" si="770" ref="BK393:BR393">SUM(BK389:BK392)</f>
        <v>11807.828159561644</v>
      </c>
      <c r="BL393" s="194">
        <f t="shared" si="770"/>
        <v>12449.778820835616</v>
      </c>
      <c r="BM393" s="194">
        <f t="shared" si="770"/>
        <v>12837.652414794522</v>
      </c>
      <c r="BN393" s="194">
        <f t="shared" si="770"/>
        <v>11724.634921561918</v>
      </c>
      <c r="BO393" s="998">
        <f t="shared" si="770"/>
        <v>48819.894316753693</v>
      </c>
      <c r="BP393" s="998">
        <f t="shared" si="770"/>
        <v>49800.021124654799</v>
      </c>
      <c r="BQ393" s="998">
        <f t="shared" si="770"/>
        <v>51497.536541052199</v>
      </c>
      <c r="BR393" s="998">
        <f t="shared" si="770"/>
        <v>53276.08985941852</v>
      </c>
      <c r="BS393" s="423"/>
    </row>
    <row r="394" spans="1:71" s="221" customFormat="1" ht="15">
      <c r="A394" s="884" t="str">
        <f>CONCATENATE("Consensus Estimates - ",IFERROR(LEFT(A393,FIND("(",A393)-1),A393))</f>
        <v>Consensus Estimates - Net Revenue</v>
      </c>
      <c r="B394" s="885"/>
      <c r="C394" s="1011"/>
      <c r="D394" s="1011"/>
      <c r="E394" s="1011"/>
      <c r="F394" s="1011"/>
      <c r="G394" s="1011"/>
      <c r="H394" s="857"/>
      <c r="I394" s="857"/>
      <c r="J394" s="857"/>
      <c r="K394" s="857"/>
      <c r="L394" s="1011"/>
      <c r="M394" s="857"/>
      <c r="N394" s="857"/>
      <c r="O394" s="857"/>
      <c r="P394" s="857"/>
      <c r="Q394" s="1011"/>
      <c r="R394" s="857"/>
      <c r="S394" s="864"/>
      <c r="T394" s="857"/>
      <c r="U394" s="857"/>
      <c r="V394" s="1011"/>
      <c r="W394" s="857"/>
      <c r="X394" s="864"/>
      <c r="Y394" s="857"/>
      <c r="Z394" s="857"/>
      <c r="AA394" s="1058"/>
      <c r="AB394" s="857"/>
      <c r="AC394" s="864"/>
      <c r="AD394" s="857"/>
      <c r="AE394" s="857"/>
      <c r="AF394" s="1058"/>
      <c r="AG394" s="857"/>
      <c r="AH394" s="864"/>
      <c r="AI394" s="857"/>
      <c r="AJ394" s="857"/>
      <c r="AK394" s="1058"/>
      <c r="AL394" s="857"/>
      <c r="AM394" s="864"/>
      <c r="AN394" s="857"/>
      <c r="AO394" s="857"/>
      <c r="AP394" s="1058"/>
      <c r="AQ394" s="857"/>
      <c r="AR394" s="864"/>
      <c r="AS394" s="857"/>
      <c r="AT394" s="857"/>
      <c r="AU394" s="1058"/>
      <c r="AV394" s="857"/>
      <c r="AW394" s="864"/>
      <c r="AX394" s="857"/>
      <c r="AY394" s="857"/>
      <c r="AZ394" s="1058"/>
      <c r="BA394" s="857"/>
      <c r="BB394" s="864"/>
      <c r="BC394" s="857"/>
      <c r="BD394" s="857"/>
      <c r="BE394" s="1058"/>
      <c r="BF394" s="857"/>
      <c r="BG394" s="864"/>
      <c r="BH394" s="858"/>
      <c r="BI394" s="854" t="str">
        <f ca="1" t="shared" si="771" ref="BI394:BO394">IFERROR(VLOOKUP($A394,tb_ConsensusEstimate,MATCH(BI$5,OFFSET(tb_ConsensusEstimate,0,0,1,COLUMNS(tb_ConsensusEstimate)),0),FALSE),"-")</f>
        <v>N/A</v>
      </c>
      <c r="BJ394" s="1003" t="str">
        <f t="shared" ca="1" si="771"/>
        <v>N/A</v>
      </c>
      <c r="BK394" s="854" t="str">
        <f t="shared" ca="1" si="771"/>
        <v>N/A</v>
      </c>
      <c r="BL394" s="854" t="str">
        <f t="shared" ca="1" si="771"/>
        <v>N/A</v>
      </c>
      <c r="BM394" s="854" t="str">
        <f t="shared" ca="1" si="771"/>
        <v>N/A</v>
      </c>
      <c r="BN394" s="854" t="str">
        <f t="shared" ca="1" si="771"/>
        <v>N/A</v>
      </c>
      <c r="BO394" s="1003" t="str">
        <f t="shared" ca="1" si="771"/>
        <v>N/A</v>
      </c>
      <c r="BP394" s="1003" t="str">
        <f ca="1">IFERROR(VLOOKUP($A394,tb_ConsensusEstimate,MATCH(BP5,OFFSET(tb_ConsensusEstimate,0,0,1,COLUMNS(tb_ConsensusEstimate)),0),FALSE),"-")</f>
        <v>N/A</v>
      </c>
      <c r="BQ394" s="1003" t="str">
        <f ca="1">IFERROR(VLOOKUP($A394,tb_ConsensusEstimate,MATCH(BQ5,OFFSET(tb_ConsensusEstimate,0,0,1,COLUMNS(tb_ConsensusEstimate)),0),FALSE),"-")</f>
        <v>N/A</v>
      </c>
      <c r="BR394" s="1003" t="str">
        <f ca="1">IFERROR(VLOOKUP($A394,tb_ConsensusEstimate,MATCH(BR5,OFFSET(tb_ConsensusEstimate,0,0,1,COLUMNS(tb_ConsensusEstimate)),0),FALSE),"-")</f>
        <v>N/A</v>
      </c>
      <c r="BS394" s="269"/>
    </row>
    <row r="395" spans="1:71" s="181" customFormat="1" ht="15">
      <c r="A395" s="453"/>
      <c r="B395" s="480"/>
      <c r="C395" s="1009"/>
      <c r="D395" s="1009"/>
      <c r="E395" s="1009"/>
      <c r="F395" s="1009"/>
      <c r="G395" s="1009"/>
      <c r="H395" s="199"/>
      <c r="I395" s="199"/>
      <c r="J395" s="199"/>
      <c r="K395" s="199"/>
      <c r="L395" s="1009"/>
      <c r="M395" s="199"/>
      <c r="N395" s="199"/>
      <c r="O395" s="199"/>
      <c r="P395" s="199"/>
      <c r="Q395" s="1009"/>
      <c r="R395" s="199"/>
      <c r="S395" s="199"/>
      <c r="T395" s="199"/>
      <c r="U395" s="199"/>
      <c r="V395" s="1009"/>
      <c r="W395" s="199"/>
      <c r="X395" s="199"/>
      <c r="Y395" s="199"/>
      <c r="Z395" s="199"/>
      <c r="AA395" s="1009"/>
      <c r="AB395" s="199"/>
      <c r="AC395" s="199"/>
      <c r="AD395" s="199"/>
      <c r="AE395" s="199"/>
      <c r="AF395" s="1009"/>
      <c r="AG395" s="199"/>
      <c r="AH395" s="199"/>
      <c r="AI395" s="199"/>
      <c r="AJ395" s="199"/>
      <c r="AK395" s="1009"/>
      <c r="AL395" s="199"/>
      <c r="AM395" s="199"/>
      <c r="AN395" s="199"/>
      <c r="AO395" s="199"/>
      <c r="AP395" s="1009"/>
      <c r="AQ395" s="199"/>
      <c r="AR395" s="199"/>
      <c r="AS395" s="199"/>
      <c r="AT395" s="199"/>
      <c r="AU395" s="1009"/>
      <c r="AV395" s="199"/>
      <c r="AW395" s="199"/>
      <c r="AX395" s="199"/>
      <c r="AY395" s="199"/>
      <c r="AZ395" s="1009"/>
      <c r="BA395" s="199"/>
      <c r="BB395" s="199"/>
      <c r="BC395" s="199"/>
      <c r="BD395" s="199"/>
      <c r="BE395" s="1009"/>
      <c r="BF395" s="199"/>
      <c r="BG395" s="199"/>
      <c r="BH395" s="554"/>
      <c r="BI395" s="199"/>
      <c r="BJ395" s="1009"/>
      <c r="BK395" s="199"/>
      <c r="BL395" s="199"/>
      <c r="BM395" s="199"/>
      <c r="BN395" s="199"/>
      <c r="BO395" s="1009"/>
      <c r="BP395" s="1009"/>
      <c r="BQ395" s="1009"/>
      <c r="BR395" s="1009"/>
      <c r="BS395" s="423"/>
    </row>
    <row r="396" spans="1:71" s="24" customFormat="1" ht="15">
      <c r="A396" s="263" t="s">
        <v>139</v>
      </c>
      <c r="B396" s="462"/>
      <c r="C396" s="993">
        <f t="shared" si="772" ref="C396:AM396">C349</f>
        <v>12408</v>
      </c>
      <c r="D396" s="993">
        <f t="shared" si="772"/>
        <v>13210</v>
      </c>
      <c r="E396" s="993">
        <f t="shared" si="772"/>
        <v>16276</v>
      </c>
      <c r="F396" s="993">
        <f t="shared" si="772"/>
        <v>14676</v>
      </c>
      <c r="G396" s="993">
        <f t="shared" si="772"/>
        <v>13307</v>
      </c>
      <c r="H396" s="265">
        <f t="shared" si="772"/>
        <v>3315</v>
      </c>
      <c r="I396" s="265">
        <f t="shared" si="772"/>
        <v>3826</v>
      </c>
      <c r="J396" s="265">
        <f t="shared" si="772"/>
        <v>3520</v>
      </c>
      <c r="K396" s="265">
        <f t="shared" si="772"/>
        <v>3209</v>
      </c>
      <c r="L396" s="993">
        <f t="shared" si="772"/>
        <v>13870</v>
      </c>
      <c r="M396" s="265">
        <f t="shared" si="772"/>
        <v>3431</v>
      </c>
      <c r="N396" s="265">
        <f t="shared" si="772"/>
        <v>3547</v>
      </c>
      <c r="O396" s="265">
        <f t="shared" si="772"/>
        <v>3382</v>
      </c>
      <c r="P396" s="265">
        <f t="shared" si="772"/>
        <v>3363</v>
      </c>
      <c r="Q396" s="993">
        <f t="shared" si="772"/>
        <v>13723</v>
      </c>
      <c r="R396" s="265">
        <f t="shared" si="772"/>
        <v>3712</v>
      </c>
      <c r="S396" s="265">
        <f t="shared" si="772"/>
        <v>3762</v>
      </c>
      <c r="T396" s="265">
        <f t="shared" si="772"/>
        <v>3856</v>
      </c>
      <c r="U396" s="265">
        <f t="shared" si="772"/>
        <v>3740</v>
      </c>
      <c r="V396" s="993">
        <f t="shared" si="772"/>
        <v>15070</v>
      </c>
      <c r="W396" s="265">
        <f t="shared" si="772"/>
        <v>4094</v>
      </c>
      <c r="X396" s="265">
        <f t="shared" si="772"/>
        <v>4225</v>
      </c>
      <c r="Y396" s="265">
        <f t="shared" si="772"/>
        <v>4806</v>
      </c>
      <c r="Z396" s="265">
        <f t="shared" si="772"/>
        <v>4342</v>
      </c>
      <c r="AA396" s="993">
        <f t="shared" si="772"/>
        <v>17467</v>
      </c>
      <c r="AB396" s="265">
        <f t="shared" si="772"/>
        <v>4296</v>
      </c>
      <c r="AC396" s="265">
        <f t="shared" si="772"/>
        <v>4562</v>
      </c>
      <c r="AD396" s="265">
        <f t="shared" si="772"/>
        <v>4655</v>
      </c>
      <c r="AE396" s="265">
        <f t="shared" si="772"/>
        <v>4778</v>
      </c>
      <c r="AF396" s="993">
        <f t="shared" si="772"/>
        <v>18291</v>
      </c>
      <c r="AG396" s="265">
        <f t="shared" si="772"/>
        <v>4442</v>
      </c>
      <c r="AH396" s="265">
        <f t="shared" si="772"/>
        <v>4821</v>
      </c>
      <c r="AI396" s="265">
        <f t="shared" si="772"/>
        <v>5230</v>
      </c>
      <c r="AJ396" s="265">
        <f t="shared" si="772"/>
        <v>4640</v>
      </c>
      <c r="AK396" s="993">
        <f t="shared" si="772"/>
        <v>19133</v>
      </c>
      <c r="AL396" s="265">
        <f t="shared" si="772"/>
        <v>4789</v>
      </c>
      <c r="AM396" s="265">
        <f t="shared" si="772"/>
        <v>5107</v>
      </c>
      <c r="AN396" s="265">
        <f>AN349</f>
        <v>4886</v>
      </c>
      <c r="AO396" s="265">
        <f t="shared" si="773" ref="AO396:AQ396">AO349</f>
        <v>4341</v>
      </c>
      <c r="AP396" s="993">
        <f t="shared" si="773"/>
        <v>19123</v>
      </c>
      <c r="AQ396" s="265">
        <f t="shared" si="773"/>
        <v>4970</v>
      </c>
      <c r="AR396" s="265">
        <f t="shared" si="774" ref="AR396:AS399">AR349</f>
        <v>5045</v>
      </c>
      <c r="AS396" s="265">
        <f t="shared" si="774"/>
        <v>5464</v>
      </c>
      <c r="AT396" s="265">
        <f t="shared" si="775" ref="AT396:AU399">AT349</f>
        <v>4819</v>
      </c>
      <c r="AU396" s="993">
        <f t="shared" si="775"/>
        <v>20298</v>
      </c>
      <c r="AV396" s="265">
        <f t="shared" si="776" ref="AV396:AW399">AV349</f>
        <v>5039</v>
      </c>
      <c r="AW396" s="265">
        <f t="shared" si="776"/>
        <v>5803</v>
      </c>
      <c r="AX396" s="265">
        <f t="shared" si="777" ref="AX396:AZ399">AX349</f>
        <v>6088</v>
      </c>
      <c r="AY396" s="265">
        <f t="shared" si="777"/>
        <v>5924</v>
      </c>
      <c r="AZ396" s="993">
        <f t="shared" si="777"/>
        <v>22854</v>
      </c>
      <c r="BA396" s="265">
        <f t="shared" si="778" ref="BA396:BB399">BA349</f>
        <v>5959</v>
      </c>
      <c r="BB396" s="265">
        <f t="shared" si="778"/>
        <v>7227</v>
      </c>
      <c r="BC396" s="265">
        <f t="shared" si="779" ref="BC396:BE399">BC349</f>
        <v>7149</v>
      </c>
      <c r="BD396" s="265">
        <f t="shared" si="779"/>
        <v>5880</v>
      </c>
      <c r="BE396" s="993">
        <f t="shared" si="779"/>
        <v>26215</v>
      </c>
      <c r="BF396" s="265">
        <f t="shared" si="780" ref="BF396:BG399">BF349</f>
        <v>6656</v>
      </c>
      <c r="BG396" s="265">
        <f t="shared" si="780"/>
        <v>7373</v>
      </c>
      <c r="BH396" s="745">
        <f>BH349</f>
        <v>6996</v>
      </c>
      <c r="BI396" s="210">
        <f>BI57</f>
        <v>6446.8624150480009</v>
      </c>
      <c r="BJ396" s="994">
        <f>SUM(BF396,BG396,BH396,BI396)</f>
        <v>27471.862415048003</v>
      </c>
      <c r="BK396" s="210">
        <f>BK57</f>
        <v>6864.1226608760007</v>
      </c>
      <c r="BL396" s="210">
        <f>BL57</f>
        <v>7686.9697183070002</v>
      </c>
      <c r="BM396" s="210">
        <f>BM57</f>
        <v>7700.0018218750001</v>
      </c>
      <c r="BN396" s="210">
        <f>BN57</f>
        <v>6717.9122313938806</v>
      </c>
      <c r="BO396" s="994">
        <f>SUM(BK396,BL396,BM396,BN396)</f>
        <v>28969.006432451883</v>
      </c>
      <c r="BP396" s="994">
        <f>BP57</f>
        <v>29263.263061557045</v>
      </c>
      <c r="BQ396" s="994">
        <f>BQ57</f>
        <v>29845.172860943087</v>
      </c>
      <c r="BR396" s="994">
        <f>BR57</f>
        <v>31411.718779110251</v>
      </c>
      <c r="BS396" s="833"/>
    </row>
    <row r="397" spans="1:71" s="24" customFormat="1" ht="15">
      <c r="A397" s="263" t="s">
        <v>501</v>
      </c>
      <c r="B397" s="462"/>
      <c r="C397" s="993">
        <f t="shared" si="781" ref="C397:AM397">C350</f>
        <v>3813</v>
      </c>
      <c r="D397" s="993">
        <f t="shared" si="781"/>
        <v>3802</v>
      </c>
      <c r="E397" s="993">
        <f t="shared" si="781"/>
        <v>3876</v>
      </c>
      <c r="F397" s="993">
        <f t="shared" si="781"/>
        <v>3910</v>
      </c>
      <c r="G397" s="993">
        <f t="shared" si="781"/>
        <v>3821</v>
      </c>
      <c r="H397" s="265">
        <f t="shared" si="781"/>
        <v>950</v>
      </c>
      <c r="I397" s="265">
        <f t="shared" si="781"/>
        <v>965</v>
      </c>
      <c r="J397" s="265">
        <f t="shared" si="781"/>
        <v>984</v>
      </c>
      <c r="K397" s="265">
        <f t="shared" si="781"/>
        <v>983</v>
      </c>
      <c r="L397" s="993">
        <f t="shared" si="781"/>
        <v>3882</v>
      </c>
      <c r="M397" s="265">
        <f t="shared" si="781"/>
        <v>963</v>
      </c>
      <c r="N397" s="265">
        <f t="shared" si="781"/>
        <v>963</v>
      </c>
      <c r="O397" s="265">
        <f t="shared" si="781"/>
        <v>987</v>
      </c>
      <c r="P397" s="265">
        <f t="shared" si="781"/>
        <v>972</v>
      </c>
      <c r="Q397" s="993">
        <f t="shared" si="781"/>
        <v>3885</v>
      </c>
      <c r="R397" s="265">
        <f t="shared" si="781"/>
        <v>971</v>
      </c>
      <c r="S397" s="265">
        <f t="shared" si="781"/>
        <v>989</v>
      </c>
      <c r="T397" s="265">
        <f t="shared" si="781"/>
        <v>1012</v>
      </c>
      <c r="U397" s="265">
        <f t="shared" si="781"/>
        <v>1013</v>
      </c>
      <c r="V397" s="993">
        <f t="shared" si="781"/>
        <v>3985</v>
      </c>
      <c r="W397" s="265">
        <f t="shared" si="781"/>
        <v>1003</v>
      </c>
      <c r="X397" s="265">
        <f t="shared" si="781"/>
        <v>1032</v>
      </c>
      <c r="Y397" s="265">
        <f t="shared" si="781"/>
        <v>1059</v>
      </c>
      <c r="Z397" s="265">
        <f t="shared" si="781"/>
        <v>1072</v>
      </c>
      <c r="AA397" s="993">
        <f t="shared" si="781"/>
        <v>4166</v>
      </c>
      <c r="AB397" s="265">
        <f t="shared" si="781"/>
        <v>1061</v>
      </c>
      <c r="AC397" s="265">
        <f t="shared" si="781"/>
        <v>1081</v>
      </c>
      <c r="AD397" s="265">
        <f t="shared" si="781"/>
        <v>1117</v>
      </c>
      <c r="AE397" s="265">
        <f t="shared" si="781"/>
        <v>1122</v>
      </c>
      <c r="AF397" s="993">
        <f t="shared" si="781"/>
        <v>4381</v>
      </c>
      <c r="AG397" s="265">
        <f t="shared" si="781"/>
        <v>1117</v>
      </c>
      <c r="AH397" s="265">
        <f t="shared" si="781"/>
        <v>1134</v>
      </c>
      <c r="AI397" s="265">
        <f t="shared" si="781"/>
        <v>1169</v>
      </c>
      <c r="AJ397" s="265">
        <f t="shared" si="781"/>
        <v>1181</v>
      </c>
      <c r="AK397" s="993">
        <f t="shared" si="781"/>
        <v>4601</v>
      </c>
      <c r="AL397" s="265">
        <f t="shared" si="781"/>
        <v>1178</v>
      </c>
      <c r="AM397" s="265">
        <f t="shared" si="781"/>
        <v>1173</v>
      </c>
      <c r="AN397" s="265">
        <f>AN350</f>
        <v>1207</v>
      </c>
      <c r="AO397" s="265">
        <f t="shared" si="782" ref="AO397:AQ397">AO350</f>
        <v>1215</v>
      </c>
      <c r="AP397" s="993">
        <f t="shared" si="782"/>
        <v>4773</v>
      </c>
      <c r="AQ397" s="265">
        <f t="shared" si="782"/>
        <v>1207</v>
      </c>
      <c r="AR397" s="265">
        <f t="shared" si="774"/>
        <v>1254</v>
      </c>
      <c r="AS397" s="265">
        <f t="shared" si="774"/>
        <v>1281</v>
      </c>
      <c r="AT397" s="265">
        <f t="shared" si="775"/>
        <v>1301</v>
      </c>
      <c r="AU397" s="993">
        <f t="shared" si="775"/>
        <v>5043</v>
      </c>
      <c r="AV397" s="265">
        <f t="shared" si="776"/>
        <v>1310</v>
      </c>
      <c r="AW397" s="265">
        <f t="shared" si="776"/>
        <v>1365</v>
      </c>
      <c r="AX397" s="265">
        <f t="shared" si="777"/>
        <v>1406</v>
      </c>
      <c r="AY397" s="265">
        <f t="shared" si="777"/>
        <v>1434</v>
      </c>
      <c r="AZ397" s="993">
        <f t="shared" si="777"/>
        <v>5515</v>
      </c>
      <c r="BA397" s="265">
        <f t="shared" si="778"/>
        <v>1462</v>
      </c>
      <c r="BB397" s="265">
        <f t="shared" si="778"/>
        <v>1519</v>
      </c>
      <c r="BC397" s="265">
        <f t="shared" si="779"/>
        <v>1604</v>
      </c>
      <c r="BD397" s="265">
        <f t="shared" si="779"/>
        <v>1641</v>
      </c>
      <c r="BE397" s="993">
        <f t="shared" si="779"/>
        <v>6226</v>
      </c>
      <c r="BF397" s="265">
        <f t="shared" si="780"/>
        <v>1698</v>
      </c>
      <c r="BG397" s="265">
        <f t="shared" si="780"/>
        <v>1678</v>
      </c>
      <c r="BH397" s="745">
        <f>BH350</f>
        <v>1790</v>
      </c>
      <c r="BI397" s="210">
        <f>BI62</f>
        <v>1608.3653612399999</v>
      </c>
      <c r="BJ397" s="994">
        <f>SUM(BF397,BG397,BH397,BI397)</f>
        <v>6774.3653612399994</v>
      </c>
      <c r="BK397" s="210">
        <f>BK62</f>
        <v>1779.3013017880003</v>
      </c>
      <c r="BL397" s="210">
        <f>BL62</f>
        <v>1902.025952299</v>
      </c>
      <c r="BM397" s="210">
        <f>BM62</f>
        <v>1948.9009908170001</v>
      </c>
      <c r="BN397" s="210">
        <f>BN62</f>
        <v>1675.1323659312002</v>
      </c>
      <c r="BO397" s="994">
        <f>SUM(BK397,BL397,BM397,BN397)</f>
        <v>7305.3606108352005</v>
      </c>
      <c r="BP397" s="994">
        <f>BP62</f>
        <v>7358.9070987948835</v>
      </c>
      <c r="BQ397" s="994">
        <f>BQ62</f>
        <v>7314.963116018288</v>
      </c>
      <c r="BR397" s="994">
        <f>BR62</f>
        <v>7897.1701237441366</v>
      </c>
      <c r="BS397" s="833"/>
    </row>
    <row r="398" spans="1:71" s="24" customFormat="1" ht="15">
      <c r="A398" s="263" t="s">
        <v>140</v>
      </c>
      <c r="B398" s="462"/>
      <c r="C398" s="993">
        <f t="shared" si="783" ref="C398:AM398">C351</f>
        <v>3366</v>
      </c>
      <c r="D398" s="993">
        <f t="shared" si="783"/>
        <v>3406</v>
      </c>
      <c r="E398" s="993">
        <f t="shared" si="783"/>
        <v>3556</v>
      </c>
      <c r="F398" s="993">
        <f t="shared" si="783"/>
        <v>3610</v>
      </c>
      <c r="G398" s="993">
        <f t="shared" si="783"/>
        <v>3757</v>
      </c>
      <c r="H398" s="265">
        <f t="shared" si="783"/>
        <v>881</v>
      </c>
      <c r="I398" s="265">
        <f t="shared" si="783"/>
        <v>1001</v>
      </c>
      <c r="J398" s="265">
        <f t="shared" si="783"/>
        <v>1031</v>
      </c>
      <c r="K398" s="265">
        <f t="shared" si="783"/>
        <v>1039</v>
      </c>
      <c r="L398" s="993">
        <f t="shared" si="783"/>
        <v>3952</v>
      </c>
      <c r="M398" s="265">
        <f t="shared" si="783"/>
        <v>995</v>
      </c>
      <c r="N398" s="265">
        <f t="shared" si="783"/>
        <v>1032</v>
      </c>
      <c r="O398" s="265">
        <f t="shared" si="783"/>
        <v>1028</v>
      </c>
      <c r="P398" s="265">
        <f t="shared" si="783"/>
        <v>1039</v>
      </c>
      <c r="Q398" s="993">
        <f t="shared" si="783"/>
        <v>4094</v>
      </c>
      <c r="R398" s="265">
        <f t="shared" si="783"/>
        <v>995</v>
      </c>
      <c r="S398" s="265">
        <f t="shared" si="783"/>
        <v>1054</v>
      </c>
      <c r="T398" s="265">
        <f t="shared" si="783"/>
        <v>1057</v>
      </c>
      <c r="U398" s="265">
        <f t="shared" si="783"/>
        <v>1048</v>
      </c>
      <c r="V398" s="993">
        <f t="shared" si="783"/>
        <v>4154</v>
      </c>
      <c r="W398" s="265">
        <f t="shared" si="783"/>
        <v>996</v>
      </c>
      <c r="X398" s="265">
        <f t="shared" si="783"/>
        <v>1045</v>
      </c>
      <c r="Y398" s="265">
        <f t="shared" si="783"/>
        <v>1045</v>
      </c>
      <c r="Z398" s="265">
        <f t="shared" si="783"/>
        <v>1084</v>
      </c>
      <c r="AA398" s="993">
        <f t="shared" si="783"/>
        <v>4170</v>
      </c>
      <c r="AB398" s="265">
        <f t="shared" si="783"/>
        <v>1062</v>
      </c>
      <c r="AC398" s="265">
        <f t="shared" si="783"/>
        <v>1113</v>
      </c>
      <c r="AD398" s="265">
        <f t="shared" si="783"/>
        <v>1059</v>
      </c>
      <c r="AE398" s="265">
        <f t="shared" si="783"/>
        <v>1063</v>
      </c>
      <c r="AF398" s="993">
        <f t="shared" si="783"/>
        <v>4297</v>
      </c>
      <c r="AG398" s="265">
        <f t="shared" si="783"/>
        <v>1057</v>
      </c>
      <c r="AH398" s="265">
        <f t="shared" si="783"/>
        <v>1125</v>
      </c>
      <c r="AI398" s="265">
        <f t="shared" si="783"/>
        <v>1098</v>
      </c>
      <c r="AJ398" s="265">
        <f t="shared" si="783"/>
        <v>1085</v>
      </c>
      <c r="AK398" s="993">
        <f t="shared" si="783"/>
        <v>4365</v>
      </c>
      <c r="AL398" s="265">
        <f t="shared" si="783"/>
        <v>1137</v>
      </c>
      <c r="AM398" s="265">
        <f t="shared" si="783"/>
        <v>1121</v>
      </c>
      <c r="AN398" s="265">
        <f>AN351</f>
        <v>1109</v>
      </c>
      <c r="AO398" s="265">
        <f t="shared" si="784" ref="AO398:AQ398">AO351</f>
        <v>1142</v>
      </c>
      <c r="AP398" s="993">
        <f t="shared" si="784"/>
        <v>4509</v>
      </c>
      <c r="AQ398" s="265">
        <f t="shared" si="784"/>
        <v>1163</v>
      </c>
      <c r="AR398" s="265">
        <f t="shared" si="774"/>
        <v>1174</v>
      </c>
      <c r="AS398" s="265">
        <f t="shared" si="774"/>
        <v>1187</v>
      </c>
      <c r="AT398" s="265">
        <f t="shared" si="775"/>
        <v>1153</v>
      </c>
      <c r="AU398" s="993">
        <f t="shared" si="775"/>
        <v>4677</v>
      </c>
      <c r="AV398" s="265">
        <f t="shared" si="776"/>
        <v>1191</v>
      </c>
      <c r="AW398" s="265">
        <f t="shared" si="776"/>
        <v>1223</v>
      </c>
      <c r="AX398" s="265">
        <f t="shared" si="777"/>
        <v>1193</v>
      </c>
      <c r="AY398" s="265">
        <f t="shared" si="777"/>
        <v>1203</v>
      </c>
      <c r="AZ398" s="993">
        <f t="shared" si="777"/>
        <v>4810</v>
      </c>
      <c r="BA398" s="265">
        <f t="shared" si="778"/>
        <v>1267</v>
      </c>
      <c r="BB398" s="265">
        <f t="shared" si="778"/>
        <v>1308</v>
      </c>
      <c r="BC398" s="265">
        <f t="shared" si="779"/>
        <v>1312</v>
      </c>
      <c r="BD398" s="265">
        <f t="shared" si="779"/>
        <v>1289</v>
      </c>
      <c r="BE398" s="993">
        <f t="shared" si="779"/>
        <v>5176</v>
      </c>
      <c r="BF398" s="265">
        <f t="shared" si="780"/>
        <v>1406</v>
      </c>
      <c r="BG398" s="265">
        <f t="shared" si="780"/>
        <v>1478</v>
      </c>
      <c r="BH398" s="745">
        <f>BH351</f>
        <v>1460</v>
      </c>
      <c r="BI398" s="210">
        <f>BI67</f>
        <v>1485.3349093000002</v>
      </c>
      <c r="BJ398" s="994">
        <f>SUM(BF398,BG398,BH398,BI398)</f>
        <v>5829.3349092999997</v>
      </c>
      <c r="BK398" s="210">
        <f>BK67</f>
        <v>1606.6739965400002</v>
      </c>
      <c r="BL398" s="210">
        <f>BL67</f>
        <v>1771.2838385549999</v>
      </c>
      <c r="BM398" s="210">
        <f>BM67</f>
        <v>1808.0047740149998</v>
      </c>
      <c r="BN398" s="210">
        <f>BN67</f>
        <v>1543.4733887386001</v>
      </c>
      <c r="BO398" s="994">
        <f>SUM(BK398,BL398,BM398,BN398)</f>
        <v>6729.4359978486</v>
      </c>
      <c r="BP398" s="994">
        <f>BP67</f>
        <v>6890.1938063976049</v>
      </c>
      <c r="BQ398" s="994">
        <f>BQ67</f>
        <v>7112.1761669246534</v>
      </c>
      <c r="BR398" s="994">
        <f>BR67</f>
        <v>7344.2281378713196</v>
      </c>
      <c r="BS398" s="833"/>
    </row>
    <row r="399" spans="1:71" s="24" customFormat="1" ht="15">
      <c r="A399" s="60" t="s">
        <v>141</v>
      </c>
      <c r="B399" s="478"/>
      <c r="C399" s="995">
        <f t="shared" si="785" ref="C399:AM399">C352</f>
        <v>382</v>
      </c>
      <c r="D399" s="995">
        <f t="shared" si="785"/>
        <v>388</v>
      </c>
      <c r="E399" s="995">
        <f t="shared" si="785"/>
        <v>386</v>
      </c>
      <c r="F399" s="995">
        <f t="shared" si="785"/>
        <v>378</v>
      </c>
      <c r="G399" s="995">
        <f t="shared" si="785"/>
        <v>361</v>
      </c>
      <c r="H399" s="186">
        <f t="shared" si="785"/>
        <v>92</v>
      </c>
      <c r="I399" s="186">
        <f t="shared" si="785"/>
        <v>92</v>
      </c>
      <c r="J399" s="186">
        <f t="shared" si="785"/>
        <v>93</v>
      </c>
      <c r="K399" s="186">
        <f t="shared" si="785"/>
        <v>92</v>
      </c>
      <c r="L399" s="995">
        <f t="shared" si="785"/>
        <v>369</v>
      </c>
      <c r="M399" s="186">
        <f t="shared" si="785"/>
        <v>92</v>
      </c>
      <c r="N399" s="186">
        <f t="shared" si="785"/>
        <v>92</v>
      </c>
      <c r="O399" s="186">
        <f t="shared" si="785"/>
        <v>94</v>
      </c>
      <c r="P399" s="186">
        <f t="shared" si="785"/>
        <v>95</v>
      </c>
      <c r="Q399" s="995">
        <f t="shared" si="785"/>
        <v>373</v>
      </c>
      <c r="R399" s="186">
        <f t="shared" si="785"/>
        <v>91</v>
      </c>
      <c r="S399" s="186">
        <f t="shared" si="785"/>
        <v>93</v>
      </c>
      <c r="T399" s="186">
        <f t="shared" si="785"/>
        <v>89</v>
      </c>
      <c r="U399" s="186">
        <f t="shared" si="785"/>
        <v>90</v>
      </c>
      <c r="V399" s="995">
        <f t="shared" si="785"/>
        <v>363</v>
      </c>
      <c r="W399" s="186">
        <f t="shared" si="785"/>
        <v>89</v>
      </c>
      <c r="X399" s="186">
        <f t="shared" si="785"/>
        <v>92</v>
      </c>
      <c r="Y399" s="186">
        <f t="shared" si="785"/>
        <v>95</v>
      </c>
      <c r="Z399" s="186">
        <f t="shared" si="785"/>
        <v>93</v>
      </c>
      <c r="AA399" s="995">
        <f t="shared" si="785"/>
        <v>369</v>
      </c>
      <c r="AB399" s="186">
        <f t="shared" si="785"/>
        <v>89</v>
      </c>
      <c r="AC399" s="186">
        <f t="shared" si="785"/>
        <v>90</v>
      </c>
      <c r="AD399" s="186">
        <f t="shared" si="785"/>
        <v>86</v>
      </c>
      <c r="AE399" s="186">
        <f t="shared" si="785"/>
        <v>87</v>
      </c>
      <c r="AF399" s="995">
        <f t="shared" si="785"/>
        <v>352</v>
      </c>
      <c r="AG399" s="186">
        <f t="shared" si="785"/>
        <v>88</v>
      </c>
      <c r="AH399" s="186">
        <f t="shared" si="785"/>
        <v>89</v>
      </c>
      <c r="AI399" s="186">
        <f t="shared" si="785"/>
        <v>84</v>
      </c>
      <c r="AJ399" s="186">
        <f t="shared" si="785"/>
        <v>83</v>
      </c>
      <c r="AK399" s="995">
        <f t="shared" si="785"/>
        <v>344</v>
      </c>
      <c r="AL399" s="186">
        <f t="shared" si="785"/>
        <v>84</v>
      </c>
      <c r="AM399" s="186">
        <f t="shared" si="785"/>
        <v>85</v>
      </c>
      <c r="AN399" s="186">
        <f>AN352</f>
        <v>87</v>
      </c>
      <c r="AO399" s="186">
        <f t="shared" si="786" ref="AO399:AQ399">AO352</f>
        <v>83</v>
      </c>
      <c r="AP399" s="995">
        <f t="shared" si="786"/>
        <v>339</v>
      </c>
      <c r="AQ399" s="186">
        <f t="shared" si="786"/>
        <v>82</v>
      </c>
      <c r="AR399" s="186">
        <f t="shared" si="774"/>
        <v>83</v>
      </c>
      <c r="AS399" s="186">
        <f t="shared" si="774"/>
        <v>87</v>
      </c>
      <c r="AT399" s="186">
        <f t="shared" si="775"/>
        <v>88</v>
      </c>
      <c r="AU399" s="995">
        <f t="shared" si="775"/>
        <v>340</v>
      </c>
      <c r="AV399" s="186">
        <f t="shared" si="776"/>
        <v>87</v>
      </c>
      <c r="AW399" s="186">
        <f t="shared" si="776"/>
        <v>88</v>
      </c>
      <c r="AX399" s="186">
        <f t="shared" si="777"/>
        <v>88</v>
      </c>
      <c r="AY399" s="186">
        <f t="shared" si="777"/>
        <v>88</v>
      </c>
      <c r="AZ399" s="995">
        <f t="shared" si="777"/>
        <v>351</v>
      </c>
      <c r="BA399" s="186">
        <f t="shared" si="778"/>
        <v>88</v>
      </c>
      <c r="BB399" s="186">
        <f t="shared" si="778"/>
        <v>92</v>
      </c>
      <c r="BC399" s="186">
        <f t="shared" si="779"/>
        <v>98</v>
      </c>
      <c r="BD399" s="186">
        <f t="shared" si="779"/>
        <v>98</v>
      </c>
      <c r="BE399" s="995">
        <f t="shared" si="779"/>
        <v>376</v>
      </c>
      <c r="BF399" s="186">
        <f t="shared" si="780"/>
        <v>98</v>
      </c>
      <c r="BG399" s="186">
        <f t="shared" si="780"/>
        <v>98</v>
      </c>
      <c r="BH399" s="746">
        <f>BH352</f>
        <v>98</v>
      </c>
      <c r="BI399" s="205">
        <f>BI494</f>
        <v>96.92275409836067</v>
      </c>
      <c r="BJ399" s="996">
        <f>SUM(BF399,BG399,BH399,BI399)</f>
        <v>390.92275409836066</v>
      </c>
      <c r="BK399" s="205">
        <f>BK494</f>
        <v>95.075506849315062</v>
      </c>
      <c r="BL399" s="205">
        <f>BL494</f>
        <v>96.131901369863016</v>
      </c>
      <c r="BM399" s="205">
        <f>BM494</f>
        <v>97.18829589041097</v>
      </c>
      <c r="BN399" s="205">
        <f>BN494</f>
        <v>97.18829589041097</v>
      </c>
      <c r="BO399" s="996">
        <f>SUM(BK399,BL399,BM399,BN399)</f>
        <v>385.58400000000006</v>
      </c>
      <c r="BP399" s="996">
        <f>BP494</f>
        <v>385.584</v>
      </c>
      <c r="BQ399" s="996">
        <f>BQ494</f>
        <v>385.584</v>
      </c>
      <c r="BR399" s="996">
        <f>BR494</f>
        <v>385.584</v>
      </c>
      <c r="BS399" s="833"/>
    </row>
    <row r="400" spans="1:71" s="181" customFormat="1" ht="15">
      <c r="A400" s="62" t="s">
        <v>142</v>
      </c>
      <c r="B400" s="479"/>
      <c r="C400" s="997">
        <f t="shared" si="787" ref="C400:AM400">C393-SUM(C396:C399)</f>
        <v>4711</v>
      </c>
      <c r="D400" s="997">
        <f t="shared" si="787"/>
        <v>4306</v>
      </c>
      <c r="E400" s="997">
        <f t="shared" si="787"/>
        <v>1352</v>
      </c>
      <c r="F400" s="997">
        <f t="shared" si="787"/>
        <v>3166</v>
      </c>
      <c r="G400" s="997">
        <f t="shared" si="787"/>
        <v>4945</v>
      </c>
      <c r="H400" s="193">
        <f t="shared" si="787"/>
        <v>1470</v>
      </c>
      <c r="I400" s="193">
        <f t="shared" si="787"/>
        <v>901</v>
      </c>
      <c r="J400" s="193">
        <f t="shared" si="787"/>
        <v>1258</v>
      </c>
      <c r="K400" s="193">
        <f t="shared" si="787"/>
        <v>1460</v>
      </c>
      <c r="L400" s="997">
        <f t="shared" si="787"/>
        <v>5089</v>
      </c>
      <c r="M400" s="193">
        <f t="shared" si="787"/>
        <v>1148</v>
      </c>
      <c r="N400" s="193">
        <f t="shared" si="787"/>
        <v>1076</v>
      </c>
      <c r="O400" s="193">
        <f t="shared" si="787"/>
        <v>1307</v>
      </c>
      <c r="P400" s="193">
        <f t="shared" si="787"/>
        <v>1209</v>
      </c>
      <c r="Q400" s="997">
        <f t="shared" si="787"/>
        <v>4740</v>
      </c>
      <c r="R400" s="193">
        <f t="shared" si="787"/>
        <v>917</v>
      </c>
      <c r="S400" s="193">
        <f t="shared" si="787"/>
        <v>887</v>
      </c>
      <c r="T400" s="193">
        <f t="shared" si="787"/>
        <v>947</v>
      </c>
      <c r="U400" s="193">
        <f t="shared" si="787"/>
        <v>1302</v>
      </c>
      <c r="V400" s="997">
        <f t="shared" si="787"/>
        <v>4053</v>
      </c>
      <c r="W400" s="193">
        <f t="shared" si="787"/>
        <v>760</v>
      </c>
      <c r="X400" s="193">
        <f t="shared" si="787"/>
        <v>790</v>
      </c>
      <c r="Y400" s="193">
        <f t="shared" si="787"/>
        <v>320</v>
      </c>
      <c r="Z400" s="193">
        <f t="shared" si="787"/>
        <v>860</v>
      </c>
      <c r="AA400" s="997">
        <f t="shared" si="787"/>
        <v>2730</v>
      </c>
      <c r="AB400" s="193">
        <f t="shared" si="787"/>
        <v>778</v>
      </c>
      <c r="AC400" s="193">
        <f t="shared" si="787"/>
        <v>631</v>
      </c>
      <c r="AD400" s="193">
        <f t="shared" si="787"/>
        <v>806</v>
      </c>
      <c r="AE400" s="193">
        <f t="shared" si="787"/>
        <v>746</v>
      </c>
      <c r="AF400" s="997">
        <f t="shared" si="787"/>
        <v>2961</v>
      </c>
      <c r="AG400" s="193">
        <f t="shared" si="787"/>
        <v>967</v>
      </c>
      <c r="AH400" s="193">
        <f t="shared" si="787"/>
        <v>665</v>
      </c>
      <c r="AI400" s="193">
        <f t="shared" si="787"/>
        <v>432</v>
      </c>
      <c r="AJ400" s="193">
        <f t="shared" si="787"/>
        <v>1074</v>
      </c>
      <c r="AK400" s="997">
        <f t="shared" si="787"/>
        <v>3138</v>
      </c>
      <c r="AL400" s="193">
        <f t="shared" si="787"/>
        <v>720</v>
      </c>
      <c r="AM400" s="193">
        <f t="shared" si="787"/>
        <v>-85</v>
      </c>
      <c r="AN400" s="193">
        <f>AN393-SUM(AN396:AN399)</f>
        <v>986</v>
      </c>
      <c r="AO400" s="193">
        <f t="shared" si="788" ref="AO400:AP400">AO393-SUM(AO396:AO399)</f>
        <v>1616</v>
      </c>
      <c r="AP400" s="997">
        <f t="shared" si="788"/>
        <v>3237</v>
      </c>
      <c r="AQ400" s="193">
        <f t="shared" si="789" ref="AQ400">AQ393-SUM(AQ396:AQ399)</f>
        <v>891</v>
      </c>
      <c r="AR400" s="193">
        <f t="shared" si="790" ref="AR400:AW400">AR393-SUM(AR396:AR399)</f>
        <v>1131</v>
      </c>
      <c r="AS400" s="193">
        <f t="shared" si="790"/>
        <v>786</v>
      </c>
      <c r="AT400" s="193">
        <f t="shared" si="790"/>
        <v>1650</v>
      </c>
      <c r="AU400" s="997">
        <f t="shared" si="790"/>
        <v>4458</v>
      </c>
      <c r="AV400" s="193">
        <f t="shared" si="790"/>
        <v>1182</v>
      </c>
      <c r="AW400" s="193">
        <f t="shared" si="790"/>
        <v>657</v>
      </c>
      <c r="AX400" s="193">
        <f t="shared" si="791" ref="AX400:BJ400">AX393-SUM(AX396:AX399)</f>
        <v>528</v>
      </c>
      <c r="AY400" s="193">
        <f t="shared" si="791"/>
        <v>987</v>
      </c>
      <c r="AZ400" s="997">
        <f t="shared" si="791"/>
        <v>3354</v>
      </c>
      <c r="BA400" s="193">
        <f t="shared" si="792" ref="BA400:BI400">BA393-SUM(BA396:BA399)</f>
        <v>928</v>
      </c>
      <c r="BB400" s="193">
        <f t="shared" si="792"/>
        <v>-48</v>
      </c>
      <c r="BC400" s="193">
        <f t="shared" si="792"/>
        <v>472</v>
      </c>
      <c r="BD400" s="193">
        <f t="shared" si="792"/>
        <v>2019</v>
      </c>
      <c r="BE400" s="997">
        <f t="shared" si="792"/>
        <v>3371</v>
      </c>
      <c r="BF400" s="193">
        <f>BF393-SUM(BF396:BF399)</f>
        <v>1370</v>
      </c>
      <c r="BG400" s="193">
        <f>BG393-SUM(BG396:BG399)</f>
        <v>656</v>
      </c>
      <c r="BH400" s="747">
        <f>BH393-SUM(BH396:BH399)</f>
        <v>1560</v>
      </c>
      <c r="BI400" s="194">
        <f t="shared" si="792"/>
        <v>1628.4866258764814</v>
      </c>
      <c r="BJ400" s="998">
        <f t="shared" si="791"/>
        <v>5214.4866258764741</v>
      </c>
      <c r="BK400" s="194">
        <f t="shared" si="793" ref="BK400:BR400">BK393-SUM(BK396:BK399)</f>
        <v>1462.6546935083279</v>
      </c>
      <c r="BL400" s="194">
        <f t="shared" si="793"/>
        <v>993.36741030475241</v>
      </c>
      <c r="BM400" s="194">
        <f t="shared" si="793"/>
        <v>1283.5565321971098</v>
      </c>
      <c r="BN400" s="194">
        <f t="shared" si="793"/>
        <v>1690.9286396078242</v>
      </c>
      <c r="BO400" s="998">
        <f t="shared" si="793"/>
        <v>5430.5072756180016</v>
      </c>
      <c r="BP400" s="998">
        <f t="shared" si="793"/>
        <v>5902.073157905259</v>
      </c>
      <c r="BQ400" s="998">
        <f t="shared" si="793"/>
        <v>6839.6403971661639</v>
      </c>
      <c r="BR400" s="998">
        <f t="shared" si="793"/>
        <v>6237.3888186928161</v>
      </c>
      <c r="BS400" s="423"/>
    </row>
    <row r="401" spans="1:71" s="221" customFormat="1" ht="15">
      <c r="A401" s="884" t="str">
        <f>CONCATENATE("Consensus Estimates - ",IFERROR(LEFT(A400,FIND("(",A400)-1),A400))</f>
        <v>Consensus Estimates - EBT</v>
      </c>
      <c r="B401" s="885"/>
      <c r="C401" s="1011"/>
      <c r="D401" s="1011"/>
      <c r="E401" s="1011"/>
      <c r="F401" s="1011"/>
      <c r="G401" s="1011"/>
      <c r="H401" s="857"/>
      <c r="I401" s="857"/>
      <c r="J401" s="857"/>
      <c r="K401" s="857"/>
      <c r="L401" s="1011"/>
      <c r="M401" s="857"/>
      <c r="N401" s="857"/>
      <c r="O401" s="857"/>
      <c r="P401" s="857"/>
      <c r="Q401" s="1011"/>
      <c r="R401" s="857"/>
      <c r="S401" s="857"/>
      <c r="T401" s="857"/>
      <c r="U401" s="857"/>
      <c r="V401" s="1011"/>
      <c r="W401" s="857"/>
      <c r="X401" s="857"/>
      <c r="Y401" s="857"/>
      <c r="Z401" s="866"/>
      <c r="AA401" s="1058"/>
      <c r="AB401" s="857"/>
      <c r="AC401" s="857"/>
      <c r="AD401" s="857"/>
      <c r="AE401" s="866"/>
      <c r="AF401" s="1058"/>
      <c r="AG401" s="857"/>
      <c r="AH401" s="857"/>
      <c r="AI401" s="857"/>
      <c r="AJ401" s="866"/>
      <c r="AK401" s="1058"/>
      <c r="AL401" s="857"/>
      <c r="AM401" s="857"/>
      <c r="AN401" s="857"/>
      <c r="AO401" s="866"/>
      <c r="AP401" s="1058"/>
      <c r="AQ401" s="857"/>
      <c r="AR401" s="857"/>
      <c r="AS401" s="857"/>
      <c r="AT401" s="866"/>
      <c r="AU401" s="1058"/>
      <c r="AV401" s="857"/>
      <c r="AW401" s="857"/>
      <c r="AX401" s="857"/>
      <c r="AY401" s="866"/>
      <c r="AZ401" s="1058"/>
      <c r="BA401" s="857"/>
      <c r="BB401" s="857"/>
      <c r="BC401" s="857"/>
      <c r="BD401" s="866"/>
      <c r="BE401" s="1058"/>
      <c r="BF401" s="857"/>
      <c r="BG401" s="857"/>
      <c r="BH401" s="858"/>
      <c r="BI401" s="854" t="str">
        <f ca="1" t="shared" si="794" ref="BI401:BO401">IFERROR(VLOOKUP($A401,tb_ConsensusEstimate,MATCH(BI$5,OFFSET(tb_ConsensusEstimate,0,0,1,COLUMNS(tb_ConsensusEstimate)),0),FALSE),"-")</f>
        <v>N/A</v>
      </c>
      <c r="BJ401" s="1003" t="str">
        <f t="shared" ca="1" si="794"/>
        <v>N/A</v>
      </c>
      <c r="BK401" s="854" t="str">
        <f t="shared" ca="1" si="794"/>
        <v>N/A</v>
      </c>
      <c r="BL401" s="854" t="str">
        <f t="shared" ca="1" si="794"/>
        <v>N/A</v>
      </c>
      <c r="BM401" s="854" t="str">
        <f t="shared" ca="1" si="794"/>
        <v>N/A</v>
      </c>
      <c r="BN401" s="854" t="str">
        <f t="shared" ca="1" si="794"/>
        <v>N/A</v>
      </c>
      <c r="BO401" s="1003" t="str">
        <f t="shared" ca="1" si="794"/>
        <v>N/A</v>
      </c>
      <c r="BP401" s="1003" t="str">
        <f ca="1">IFERROR(VLOOKUP($A401,tb_ConsensusEstimate,MATCH(BP5,OFFSET(tb_ConsensusEstimate,0,0,1,COLUMNS(tb_ConsensusEstimate)),0),FALSE),"-")</f>
        <v>N/A</v>
      </c>
      <c r="BQ401" s="1003" t="str">
        <f ca="1">IFERROR(VLOOKUP($A401,tb_ConsensusEstimate,MATCH(BQ5,OFFSET(tb_ConsensusEstimate,0,0,1,COLUMNS(tb_ConsensusEstimate)),0),FALSE),"-")</f>
        <v>N/A</v>
      </c>
      <c r="BR401" s="1003" t="str">
        <f ca="1">IFERROR(VLOOKUP($A401,tb_ConsensusEstimate,MATCH(BR5,OFFSET(tb_ConsensusEstimate,0,0,1,COLUMNS(tb_ConsensusEstimate)),0),FALSE),"-")</f>
        <v>N/A</v>
      </c>
      <c r="BS401" s="269"/>
    </row>
    <row r="402" spans="1:71" s="29" customFormat="1" ht="15">
      <c r="A402" s="836"/>
      <c r="B402" s="837"/>
      <c r="C402" s="994"/>
      <c r="D402" s="994"/>
      <c r="E402" s="994"/>
      <c r="F402" s="994"/>
      <c r="G402" s="994"/>
      <c r="H402" s="210"/>
      <c r="I402" s="210"/>
      <c r="J402" s="210"/>
      <c r="K402" s="210"/>
      <c r="L402" s="994"/>
      <c r="M402" s="210"/>
      <c r="N402" s="210"/>
      <c r="O402" s="210"/>
      <c r="P402" s="210"/>
      <c r="Q402" s="994"/>
      <c r="R402" s="210"/>
      <c r="S402" s="210"/>
      <c r="T402" s="210"/>
      <c r="U402" s="210"/>
      <c r="V402" s="994"/>
      <c r="W402" s="210"/>
      <c r="X402" s="210"/>
      <c r="Y402" s="210"/>
      <c r="Z402" s="210"/>
      <c r="AA402" s="994"/>
      <c r="AB402" s="210"/>
      <c r="AC402" s="210"/>
      <c r="AD402" s="210"/>
      <c r="AE402" s="210"/>
      <c r="AF402" s="994"/>
      <c r="AG402" s="210"/>
      <c r="AH402" s="210"/>
      <c r="AI402" s="210"/>
      <c r="AJ402" s="210"/>
      <c r="AK402" s="994"/>
      <c r="AL402" s="210"/>
      <c r="AM402" s="210"/>
      <c r="AN402" s="210"/>
      <c r="AO402" s="210"/>
      <c r="AP402" s="994"/>
      <c r="AQ402" s="210"/>
      <c r="AR402" s="210"/>
      <c r="AS402" s="210"/>
      <c r="AT402" s="210"/>
      <c r="AU402" s="994"/>
      <c r="AV402" s="210"/>
      <c r="AW402" s="210"/>
      <c r="AX402" s="210"/>
      <c r="AY402" s="210"/>
      <c r="AZ402" s="994"/>
      <c r="BA402" s="210"/>
      <c r="BB402" s="210"/>
      <c r="BC402" s="210"/>
      <c r="BD402" s="210"/>
      <c r="BE402" s="994"/>
      <c r="BF402" s="210"/>
      <c r="BG402" s="210"/>
      <c r="BH402" s="553"/>
      <c r="BI402" s="210"/>
      <c r="BJ402" s="994"/>
      <c r="BK402" s="210"/>
      <c r="BL402" s="210"/>
      <c r="BM402" s="210"/>
      <c r="BN402" s="210"/>
      <c r="BO402" s="994"/>
      <c r="BP402" s="994"/>
      <c r="BQ402" s="994"/>
      <c r="BR402" s="994"/>
      <c r="BS402" s="42"/>
    </row>
    <row r="403" spans="1:71" s="24" customFormat="1" ht="15">
      <c r="A403" s="263" t="s">
        <v>143</v>
      </c>
      <c r="B403" s="462"/>
      <c r="C403" s="993">
        <f t="shared" si="795" ref="C403:AM403">C355-C404</f>
        <v>876</v>
      </c>
      <c r="D403" s="993">
        <f t="shared" si="795"/>
        <v>912</v>
      </c>
      <c r="E403" s="993">
        <f t="shared" si="795"/>
        <v>-137</v>
      </c>
      <c r="F403" s="993">
        <f t="shared" si="795"/>
        <v>470</v>
      </c>
      <c r="G403" s="993">
        <f t="shared" si="795"/>
        <v>1105</v>
      </c>
      <c r="H403" s="265">
        <f t="shared" si="795"/>
        <v>265</v>
      </c>
      <c r="I403" s="265">
        <f t="shared" si="795"/>
        <v>240</v>
      </c>
      <c r="J403" s="265">
        <f t="shared" si="795"/>
        <v>377</v>
      </c>
      <c r="K403" s="265">
        <f t="shared" si="795"/>
        <v>394</v>
      </c>
      <c r="L403" s="993">
        <f t="shared" si="795"/>
        <v>1276</v>
      </c>
      <c r="M403" s="265">
        <f t="shared" si="795"/>
        <v>182</v>
      </c>
      <c r="N403" s="265">
        <f t="shared" si="795"/>
        <v>255</v>
      </c>
      <c r="O403" s="265">
        <f t="shared" si="795"/>
        <v>416</v>
      </c>
      <c r="P403" s="265">
        <f t="shared" si="795"/>
        <v>331</v>
      </c>
      <c r="Q403" s="993">
        <f t="shared" si="795"/>
        <v>1184</v>
      </c>
      <c r="R403" s="265">
        <f t="shared" si="795"/>
        <v>121</v>
      </c>
      <c r="S403" s="265">
        <f t="shared" si="795"/>
        <v>253</v>
      </c>
      <c r="T403" s="265">
        <f t="shared" si="795"/>
        <v>277</v>
      </c>
      <c r="U403" s="265">
        <f t="shared" si="795"/>
        <v>278</v>
      </c>
      <c r="V403" s="993">
        <f t="shared" si="795"/>
        <v>929</v>
      </c>
      <c r="W403" s="265">
        <f t="shared" si="795"/>
        <v>-8</v>
      </c>
      <c r="X403" s="265">
        <f t="shared" si="795"/>
        <v>240</v>
      </c>
      <c r="Y403" s="265">
        <f t="shared" si="795"/>
        <v>45</v>
      </c>
      <c r="Z403" s="265">
        <f t="shared" si="795"/>
        <v>60</v>
      </c>
      <c r="AA403" s="993">
        <f t="shared" si="795"/>
        <v>337</v>
      </c>
      <c r="AB403" s="265">
        <f t="shared" si="795"/>
        <v>165</v>
      </c>
      <c r="AC403" s="265">
        <f t="shared" si="795"/>
        <v>121</v>
      </c>
      <c r="AD403" s="265">
        <f t="shared" si="795"/>
        <v>70</v>
      </c>
      <c r="AE403" s="265">
        <f t="shared" si="795"/>
        <v>95</v>
      </c>
      <c r="AF403" s="993">
        <f t="shared" si="795"/>
        <v>451</v>
      </c>
      <c r="AG403" s="265">
        <f t="shared" si="795"/>
        <v>139</v>
      </c>
      <c r="AH403" s="265">
        <f t="shared" si="795"/>
        <v>130</v>
      </c>
      <c r="AI403" s="265">
        <f t="shared" si="795"/>
        <v>56</v>
      </c>
      <c r="AJ403" s="265">
        <f t="shared" si="795"/>
        <v>224</v>
      </c>
      <c r="AK403" s="993">
        <f t="shared" si="795"/>
        <v>549</v>
      </c>
      <c r="AL403" s="265">
        <f t="shared" si="795"/>
        <v>114</v>
      </c>
      <c r="AM403" s="265">
        <f t="shared" si="795"/>
        <v>32</v>
      </c>
      <c r="AN403" s="265">
        <f>AN355-AN404</f>
        <v>155</v>
      </c>
      <c r="AO403" s="265">
        <f t="shared" si="796" ref="AO403:AQ403">AO355-AO404</f>
        <v>268</v>
      </c>
      <c r="AP403" s="993">
        <f t="shared" si="796"/>
        <v>569</v>
      </c>
      <c r="AQ403" s="265">
        <f t="shared" si="796"/>
        <v>102</v>
      </c>
      <c r="AR403" s="265">
        <f t="shared" si="797" ref="AR403:AW403">AR355-AR404</f>
        <v>196</v>
      </c>
      <c r="AS403" s="265">
        <f t="shared" si="797"/>
        <v>120</v>
      </c>
      <c r="AT403" s="265">
        <f t="shared" si="797"/>
        <v>316</v>
      </c>
      <c r="AU403" s="993">
        <f t="shared" si="797"/>
        <v>734</v>
      </c>
      <c r="AV403" s="265">
        <f t="shared" si="797"/>
        <v>124</v>
      </c>
      <c r="AW403" s="265">
        <f t="shared" si="797"/>
        <v>174</v>
      </c>
      <c r="AX403" s="265">
        <f t="shared" si="798" ref="AX403:BC403">AX355-AX404</f>
        <v>176</v>
      </c>
      <c r="AY403" s="265">
        <f t="shared" si="798"/>
        <v>224</v>
      </c>
      <c r="AZ403" s="993">
        <f t="shared" si="798"/>
        <v>698</v>
      </c>
      <c r="BA403" s="265">
        <f t="shared" si="798"/>
        <v>-79</v>
      </c>
      <c r="BB403" s="265">
        <f t="shared" si="798"/>
        <v>62</v>
      </c>
      <c r="BC403" s="265">
        <f t="shared" si="798"/>
        <v>111</v>
      </c>
      <c r="BD403" s="265">
        <f>BD355-BD404</f>
        <v>449</v>
      </c>
      <c r="BE403" s="993">
        <f>BE355-BE404</f>
        <v>543</v>
      </c>
      <c r="BF403" s="265">
        <f>BF355-BF404</f>
        <v>205</v>
      </c>
      <c r="BG403" s="265">
        <f>BG355-BG404</f>
        <v>207</v>
      </c>
      <c r="BH403" s="745">
        <f>BH355-BH404</f>
        <v>359</v>
      </c>
      <c r="BI403" s="210">
        <f>BI400*BI417</f>
        <v>195.41839510517775</v>
      </c>
      <c r="BJ403" s="994">
        <f>SUM(BF403,BG403,BH403,BI403)</f>
        <v>966.41839510517775</v>
      </c>
      <c r="BK403" s="210">
        <f>BK400*BK417</f>
        <v>175.51856322099934</v>
      </c>
      <c r="BL403" s="210">
        <f>BL400*BL417</f>
        <v>119.20408923657028</v>
      </c>
      <c r="BM403" s="210">
        <f>BM400*BM417</f>
        <v>218.20461047350869</v>
      </c>
      <c r="BN403" s="210">
        <f>BN400*BN417</f>
        <v>186.00215035686065</v>
      </c>
      <c r="BO403" s="994">
        <f>SUM(BK403,BL403,BM403,BN403)</f>
        <v>698.92941328793893</v>
      </c>
      <c r="BP403" s="994">
        <f>BP400*BP417</f>
        <v>708.24877894863107</v>
      </c>
      <c r="BQ403" s="994">
        <f>BQ400*BQ417</f>
        <v>1265.3334734757423</v>
      </c>
      <c r="BR403" s="994">
        <f>BR400*BR417</f>
        <v>1153.9169314581727</v>
      </c>
      <c r="BS403" s="833"/>
    </row>
    <row r="404" spans="1:71" s="24" customFormat="1" ht="15">
      <c r="A404" s="60" t="s">
        <v>144</v>
      </c>
      <c r="B404" s="478"/>
      <c r="C404" s="995">
        <f t="shared" si="799" ref="C404:AM404">C574</f>
        <v>213</v>
      </c>
      <c r="D404" s="995">
        <f t="shared" si="799"/>
        <v>178</v>
      </c>
      <c r="E404" s="995">
        <f t="shared" si="799"/>
        <v>63</v>
      </c>
      <c r="F404" s="995">
        <f t="shared" si="799"/>
        <v>223</v>
      </c>
      <c r="G404" s="995">
        <f t="shared" si="799"/>
        <v>167</v>
      </c>
      <c r="H404" s="186">
        <f t="shared" si="799"/>
        <v>153</v>
      </c>
      <c r="I404" s="186">
        <f t="shared" si="799"/>
        <v>-22</v>
      </c>
      <c r="J404" s="186">
        <f t="shared" si="799"/>
        <v>-38</v>
      </c>
      <c r="K404" s="186">
        <f t="shared" si="799"/>
        <v>28</v>
      </c>
      <c r="L404" s="995">
        <f t="shared" si="799"/>
        <v>121</v>
      </c>
      <c r="M404" s="186">
        <f t="shared" si="799"/>
        <v>133</v>
      </c>
      <c r="N404" s="186">
        <f t="shared" si="799"/>
        <v>9</v>
      </c>
      <c r="O404" s="186">
        <f t="shared" si="799"/>
        <v>-37</v>
      </c>
      <c r="P404" s="186">
        <f t="shared" si="799"/>
        <v>12</v>
      </c>
      <c r="Q404" s="995">
        <f t="shared" si="799"/>
        <v>117</v>
      </c>
      <c r="R404" s="186">
        <f t="shared" si="799"/>
        <v>105</v>
      </c>
      <c r="S404" s="186">
        <f t="shared" si="799"/>
        <v>-30</v>
      </c>
      <c r="T404" s="186">
        <f t="shared" si="799"/>
        <v>-46</v>
      </c>
      <c r="U404" s="186">
        <f t="shared" si="799"/>
        <v>81</v>
      </c>
      <c r="V404" s="995">
        <f t="shared" si="799"/>
        <v>110</v>
      </c>
      <c r="W404" s="186">
        <f t="shared" si="799"/>
        <v>151</v>
      </c>
      <c r="X404" s="186">
        <f t="shared" si="799"/>
        <v>-45</v>
      </c>
      <c r="Y404" s="186">
        <f t="shared" si="799"/>
        <v>-18</v>
      </c>
      <c r="Z404" s="186">
        <f t="shared" si="799"/>
        <v>249</v>
      </c>
      <c r="AA404" s="995">
        <f t="shared" si="799"/>
        <v>337</v>
      </c>
      <c r="AB404" s="186">
        <f t="shared" si="799"/>
        <v>-56</v>
      </c>
      <c r="AC404" s="186">
        <f t="shared" si="799"/>
        <v>-14</v>
      </c>
      <c r="AD404" s="186">
        <f t="shared" si="799"/>
        <v>27</v>
      </c>
      <c r="AE404" s="186">
        <f t="shared" si="799"/>
        <v>30</v>
      </c>
      <c r="AF404" s="995">
        <f t="shared" si="799"/>
        <v>-13</v>
      </c>
      <c r="AG404" s="186">
        <f t="shared" si="799"/>
        <v>32</v>
      </c>
      <c r="AH404" s="186">
        <f t="shared" si="799"/>
        <v>-22</v>
      </c>
      <c r="AI404" s="186">
        <f t="shared" si="799"/>
        <v>-20</v>
      </c>
      <c r="AJ404" s="186">
        <f t="shared" si="799"/>
        <v>-23</v>
      </c>
      <c r="AK404" s="995">
        <f t="shared" si="799"/>
        <v>-33</v>
      </c>
      <c r="AL404" s="186">
        <f t="shared" si="799"/>
        <v>6</v>
      </c>
      <c r="AM404" s="186">
        <f t="shared" si="799"/>
        <v>-77</v>
      </c>
      <c r="AN404" s="186">
        <f>AN574</f>
        <v>4</v>
      </c>
      <c r="AO404" s="186">
        <f t="shared" si="800" ref="AO404:AQ404">AO574</f>
        <v>38</v>
      </c>
      <c r="AP404" s="995">
        <f t="shared" si="800"/>
        <v>-29</v>
      </c>
      <c r="AQ404" s="186">
        <f t="shared" si="800"/>
        <v>56</v>
      </c>
      <c r="AR404" s="186">
        <f t="shared" si="801" ref="AR404:AW404">AR574</f>
        <v>1</v>
      </c>
      <c r="AS404" s="186">
        <f t="shared" si="801"/>
        <v>4</v>
      </c>
      <c r="AT404" s="186">
        <f t="shared" si="801"/>
        <v>1</v>
      </c>
      <c r="AU404" s="995">
        <f t="shared" si="801"/>
        <v>62</v>
      </c>
      <c r="AV404" s="186">
        <f t="shared" si="801"/>
        <v>40</v>
      </c>
      <c r="AW404" s="186">
        <f t="shared" si="801"/>
        <v>-68</v>
      </c>
      <c r="AX404" s="186">
        <f t="shared" si="802" ref="AX404:BC404">AX574</f>
        <v>-102</v>
      </c>
      <c r="AY404" s="186">
        <f t="shared" si="802"/>
        <v>-56</v>
      </c>
      <c r="AZ404" s="995">
        <f t="shared" si="802"/>
        <v>-186</v>
      </c>
      <c r="BA404" s="186">
        <f t="shared" si="802"/>
        <v>32</v>
      </c>
      <c r="BB404" s="186">
        <f t="shared" si="802"/>
        <v>-96</v>
      </c>
      <c r="BC404" s="186">
        <f t="shared" si="802"/>
        <v>-43</v>
      </c>
      <c r="BD404" s="186">
        <f>BD574</f>
        <v>-56</v>
      </c>
      <c r="BE404" s="995">
        <f>BE574</f>
        <v>-163</v>
      </c>
      <c r="BF404" s="186">
        <f>BF574</f>
        <v>42</v>
      </c>
      <c r="BG404" s="186">
        <f>BG574</f>
        <v>-85</v>
      </c>
      <c r="BH404" s="746">
        <f>BH574</f>
        <v>-59</v>
      </c>
      <c r="BI404" s="205">
        <f>BI400*BI418</f>
        <v>-16.284866258764815</v>
      </c>
      <c r="BJ404" s="996">
        <f>SUM(BF404,BG404,BH404,BI404)</f>
        <v>-118.28486625876482</v>
      </c>
      <c r="BK404" s="205">
        <f>BK400*BK418</f>
        <v>-14.62654693508328</v>
      </c>
      <c r="BL404" s="205">
        <f>BL400*BL418</f>
        <v>-9.9336741030475242</v>
      </c>
      <c r="BM404" s="205">
        <f>BM400*BM418</f>
        <v>-12.835565321971099</v>
      </c>
      <c r="BN404" s="205">
        <f>BN400*BN418</f>
        <v>-16.90928639607824</v>
      </c>
      <c r="BO404" s="996">
        <f>SUM(BK404,BL404,BM404,BN404)</f>
        <v>-54.305072756180152</v>
      </c>
      <c r="BP404" s="996">
        <f>BP400*BP418</f>
        <v>-59.020731579052757</v>
      </c>
      <c r="BQ404" s="996">
        <f>BQ400*BQ418</f>
        <v>-68.396403971661826</v>
      </c>
      <c r="BR404" s="996">
        <f>BR400*BR418</f>
        <v>-62.373888186928333</v>
      </c>
      <c r="BS404" s="833"/>
    </row>
    <row r="405" spans="1:71" s="181" customFormat="1" ht="15">
      <c r="A405" s="62" t="s">
        <v>145</v>
      </c>
      <c r="B405" s="479"/>
      <c r="C405" s="997">
        <f t="shared" si="803" ref="C405:AM405">C400-SUM(C403:C404)</f>
        <v>3622</v>
      </c>
      <c r="D405" s="997">
        <f t="shared" si="803"/>
        <v>3216</v>
      </c>
      <c r="E405" s="997">
        <f t="shared" si="803"/>
        <v>1426</v>
      </c>
      <c r="F405" s="997">
        <f t="shared" si="803"/>
        <v>2473</v>
      </c>
      <c r="G405" s="997">
        <f t="shared" si="803"/>
        <v>3673</v>
      </c>
      <c r="H405" s="193">
        <f t="shared" si="803"/>
        <v>1052</v>
      </c>
      <c r="I405" s="193">
        <f t="shared" si="803"/>
        <v>683</v>
      </c>
      <c r="J405" s="193">
        <f t="shared" si="803"/>
        <v>919</v>
      </c>
      <c r="K405" s="193">
        <f t="shared" si="803"/>
        <v>1038</v>
      </c>
      <c r="L405" s="997">
        <f t="shared" si="803"/>
        <v>3692</v>
      </c>
      <c r="M405" s="193">
        <f t="shared" si="803"/>
        <v>833</v>
      </c>
      <c r="N405" s="193">
        <f t="shared" si="803"/>
        <v>812</v>
      </c>
      <c r="O405" s="193">
        <f t="shared" si="803"/>
        <v>928</v>
      </c>
      <c r="P405" s="193">
        <f t="shared" si="803"/>
        <v>866</v>
      </c>
      <c r="Q405" s="997">
        <f t="shared" si="803"/>
        <v>3439</v>
      </c>
      <c r="R405" s="193">
        <f t="shared" si="803"/>
        <v>691</v>
      </c>
      <c r="S405" s="193">
        <f t="shared" si="803"/>
        <v>664</v>
      </c>
      <c r="T405" s="193">
        <f t="shared" si="803"/>
        <v>716</v>
      </c>
      <c r="U405" s="193">
        <f t="shared" si="803"/>
        <v>943</v>
      </c>
      <c r="V405" s="997">
        <f t="shared" si="803"/>
        <v>3014</v>
      </c>
      <c r="W405" s="193">
        <f t="shared" si="803"/>
        <v>617</v>
      </c>
      <c r="X405" s="193">
        <f t="shared" si="803"/>
        <v>595</v>
      </c>
      <c r="Y405" s="193">
        <f t="shared" si="803"/>
        <v>293</v>
      </c>
      <c r="Z405" s="193">
        <f t="shared" si="803"/>
        <v>551</v>
      </c>
      <c r="AA405" s="997">
        <f t="shared" si="803"/>
        <v>2056</v>
      </c>
      <c r="AB405" s="193">
        <f t="shared" si="803"/>
        <v>669</v>
      </c>
      <c r="AC405" s="193">
        <f t="shared" si="803"/>
        <v>524</v>
      </c>
      <c r="AD405" s="193">
        <f t="shared" si="803"/>
        <v>709</v>
      </c>
      <c r="AE405" s="193">
        <f t="shared" si="803"/>
        <v>621</v>
      </c>
      <c r="AF405" s="997">
        <f t="shared" si="803"/>
        <v>2523</v>
      </c>
      <c r="AG405" s="193">
        <f t="shared" si="803"/>
        <v>796</v>
      </c>
      <c r="AH405" s="193">
        <f t="shared" si="803"/>
        <v>557</v>
      </c>
      <c r="AI405" s="193">
        <f t="shared" si="803"/>
        <v>396</v>
      </c>
      <c r="AJ405" s="193">
        <f t="shared" si="803"/>
        <v>873</v>
      </c>
      <c r="AK405" s="997">
        <f t="shared" si="803"/>
        <v>2622</v>
      </c>
      <c r="AL405" s="193">
        <f t="shared" si="803"/>
        <v>600</v>
      </c>
      <c r="AM405" s="193">
        <f t="shared" si="803"/>
        <v>-40</v>
      </c>
      <c r="AN405" s="193">
        <f>AN400-SUM(AN403:AN404)</f>
        <v>827</v>
      </c>
      <c r="AO405" s="193">
        <f t="shared" si="804" ref="AO405:AP405">AO400-SUM(AO403:AO404)</f>
        <v>1310</v>
      </c>
      <c r="AP405" s="997">
        <f t="shared" si="804"/>
        <v>2697</v>
      </c>
      <c r="AQ405" s="193">
        <f t="shared" si="805" ref="AQ405">AQ400-SUM(AQ403:AQ404)</f>
        <v>733</v>
      </c>
      <c r="AR405" s="193">
        <f t="shared" si="806" ref="AR405:AW405">AR400-SUM(AR403:AR404)</f>
        <v>934</v>
      </c>
      <c r="AS405" s="193">
        <f t="shared" si="806"/>
        <v>662</v>
      </c>
      <c r="AT405" s="193">
        <f t="shared" si="806"/>
        <v>1333</v>
      </c>
      <c r="AU405" s="997">
        <f t="shared" si="806"/>
        <v>3662</v>
      </c>
      <c r="AV405" s="193">
        <f t="shared" si="806"/>
        <v>1018</v>
      </c>
      <c r="AW405" s="193">
        <f t="shared" si="806"/>
        <v>551</v>
      </c>
      <c r="AX405" s="193">
        <f t="shared" si="807" ref="AX405:BJ405">AX400-SUM(AX403:AX404)</f>
        <v>454</v>
      </c>
      <c r="AY405" s="193">
        <f t="shared" si="807"/>
        <v>819</v>
      </c>
      <c r="AZ405" s="997">
        <f t="shared" si="807"/>
        <v>2842</v>
      </c>
      <c r="BA405" s="193">
        <f t="shared" si="808" ref="BA405:BI405">BA400-SUM(BA403:BA404)</f>
        <v>975</v>
      </c>
      <c r="BB405" s="193">
        <f t="shared" si="808"/>
        <v>-14</v>
      </c>
      <c r="BC405" s="193">
        <f t="shared" si="808"/>
        <v>404</v>
      </c>
      <c r="BD405" s="193">
        <f t="shared" si="808"/>
        <v>1626</v>
      </c>
      <c r="BE405" s="997">
        <f t="shared" si="808"/>
        <v>2991</v>
      </c>
      <c r="BF405" s="193">
        <f>BF400-SUM(BF403:BF404)</f>
        <v>1123</v>
      </c>
      <c r="BG405" s="193">
        <f>BG400-SUM(BG403:BG404)</f>
        <v>534</v>
      </c>
      <c r="BH405" s="747">
        <f>BH400-SUM(BH403:BH404)</f>
        <v>1260</v>
      </c>
      <c r="BI405" s="194">
        <f t="shared" si="808"/>
        <v>1449.3530970300685</v>
      </c>
      <c r="BJ405" s="998">
        <f t="shared" si="807"/>
        <v>4366.3530970300617</v>
      </c>
      <c r="BK405" s="194">
        <f t="shared" si="809" ref="BK405:BR405">BK400-SUM(BK403:BK404)</f>
        <v>1301.7626772224119</v>
      </c>
      <c r="BL405" s="194">
        <f t="shared" si="809"/>
        <v>884.09699517122965</v>
      </c>
      <c r="BM405" s="194">
        <f t="shared" si="809"/>
        <v>1078.1874870455722</v>
      </c>
      <c r="BN405" s="194">
        <f t="shared" si="809"/>
        <v>1521.8357756470418</v>
      </c>
      <c r="BO405" s="998">
        <f t="shared" si="809"/>
        <v>4785.8829350862425</v>
      </c>
      <c r="BP405" s="998">
        <f t="shared" si="809"/>
        <v>5252.8451105356808</v>
      </c>
      <c r="BQ405" s="998">
        <f t="shared" si="809"/>
        <v>5642.7033276620832</v>
      </c>
      <c r="BR405" s="998">
        <f t="shared" si="809"/>
        <v>5145.8457754215715</v>
      </c>
      <c r="BS405" s="423"/>
    </row>
    <row r="406" spans="1:71" s="24" customFormat="1" ht="15">
      <c r="A406" s="263" t="s">
        <v>146</v>
      </c>
      <c r="B406" s="462"/>
      <c r="C406" s="994"/>
      <c r="D406" s="994"/>
      <c r="E406" s="994"/>
      <c r="F406" s="994"/>
      <c r="G406" s="994"/>
      <c r="H406" s="210"/>
      <c r="I406" s="210"/>
      <c r="J406" s="210"/>
      <c r="K406" s="210"/>
      <c r="L406" s="994"/>
      <c r="M406" s="210"/>
      <c r="N406" s="210"/>
      <c r="O406" s="210"/>
      <c r="P406" s="210"/>
      <c r="Q406" s="994"/>
      <c r="R406" s="210"/>
      <c r="S406" s="210"/>
      <c r="T406" s="210"/>
      <c r="U406" s="210"/>
      <c r="V406" s="994"/>
      <c r="W406" s="210"/>
      <c r="X406" s="210"/>
      <c r="Y406" s="210"/>
      <c r="Z406" s="210"/>
      <c r="AA406" s="993">
        <f>SUM(W406,X406,Y406,Z406)</f>
        <v>0</v>
      </c>
      <c r="AB406" s="210"/>
      <c r="AC406" s="210"/>
      <c r="AD406" s="210"/>
      <c r="AE406" s="210"/>
      <c r="AF406" s="993">
        <f>SUM(AB406,AC406,AD406,AE406)</f>
        <v>0</v>
      </c>
      <c r="AG406" s="210"/>
      <c r="AH406" s="210"/>
      <c r="AI406" s="210"/>
      <c r="AJ406" s="210"/>
      <c r="AK406" s="993">
        <f>SUM(AG406,AH406,AI406,AJ406)</f>
        <v>0</v>
      </c>
      <c r="AL406" s="210"/>
      <c r="AM406" s="210"/>
      <c r="AN406" s="210"/>
      <c r="AO406" s="210"/>
      <c r="AP406" s="993">
        <f>SUM(AL406,AM406,AN406,AO406)</f>
        <v>0</v>
      </c>
      <c r="AQ406" s="210"/>
      <c r="AR406" s="210"/>
      <c r="AS406" s="210"/>
      <c r="AT406" s="210"/>
      <c r="AU406" s="993">
        <f>SUM(AQ406,AR406,AS406,AT406)</f>
        <v>0</v>
      </c>
      <c r="AV406" s="210"/>
      <c r="AW406" s="210"/>
      <c r="AX406" s="210"/>
      <c r="AY406" s="210"/>
      <c r="AZ406" s="993">
        <f>SUM(AV406,AW406,AX406,AY406)</f>
        <v>0</v>
      </c>
      <c r="BA406" s="210"/>
      <c r="BB406" s="210"/>
      <c r="BC406" s="210"/>
      <c r="BD406" s="210"/>
      <c r="BE406" s="993">
        <f>SUM(BA406,BB406,BC406,BD406)</f>
        <v>0</v>
      </c>
      <c r="BF406" s="210"/>
      <c r="BG406" s="210"/>
      <c r="BH406" s="553"/>
      <c r="BI406" s="210"/>
      <c r="BJ406" s="994">
        <f>SUM(BF406,BG406,BH406,BI406)</f>
        <v>0</v>
      </c>
      <c r="BK406" s="210"/>
      <c r="BL406" s="210"/>
      <c r="BM406" s="210"/>
      <c r="BN406" s="210"/>
      <c r="BO406" s="994">
        <f>SUM(BK406,BL406,BM406,BN406)</f>
        <v>0</v>
      </c>
      <c r="BP406" s="994"/>
      <c r="BQ406" s="994"/>
      <c r="BR406" s="994"/>
      <c r="BS406" s="833"/>
    </row>
    <row r="407" spans="1:71" s="24" customFormat="1" ht="15">
      <c r="A407" s="263" t="s">
        <v>147</v>
      </c>
      <c r="B407" s="462"/>
      <c r="C407" s="994"/>
      <c r="D407" s="994"/>
      <c r="E407" s="994"/>
      <c r="F407" s="994"/>
      <c r="G407" s="994"/>
      <c r="H407" s="210"/>
      <c r="I407" s="210"/>
      <c r="J407" s="210"/>
      <c r="K407" s="210"/>
      <c r="L407" s="994"/>
      <c r="M407" s="210"/>
      <c r="N407" s="210"/>
      <c r="O407" s="210"/>
      <c r="P407" s="210"/>
      <c r="Q407" s="994"/>
      <c r="R407" s="210"/>
      <c r="S407" s="210"/>
      <c r="T407" s="210"/>
      <c r="U407" s="210"/>
      <c r="V407" s="994"/>
      <c r="W407" s="210"/>
      <c r="X407" s="210"/>
      <c r="Y407" s="210"/>
      <c r="Z407" s="210"/>
      <c r="AA407" s="993">
        <f>SUM(W407,X407,Y407,Z407)</f>
        <v>0</v>
      </c>
      <c r="AB407" s="210"/>
      <c r="AC407" s="210"/>
      <c r="AD407" s="210"/>
      <c r="AE407" s="210"/>
      <c r="AF407" s="993">
        <f>SUM(AB407,AC407,AD407,AE407)</f>
        <v>0</v>
      </c>
      <c r="AG407" s="210"/>
      <c r="AH407" s="210"/>
      <c r="AI407" s="210"/>
      <c r="AJ407" s="210"/>
      <c r="AK407" s="993">
        <f>SUM(AG407,AH407,AI407,AJ407)</f>
        <v>0</v>
      </c>
      <c r="AL407" s="210"/>
      <c r="AM407" s="210"/>
      <c r="AN407" s="210"/>
      <c r="AO407" s="210"/>
      <c r="AP407" s="993">
        <f>SUM(AL407,AM407,AN407,AO407)</f>
        <v>0</v>
      </c>
      <c r="AQ407" s="210"/>
      <c r="AR407" s="210"/>
      <c r="AS407" s="210"/>
      <c r="AT407" s="210"/>
      <c r="AU407" s="993">
        <f>SUM(AQ407,AR407,AS407,AT407)</f>
        <v>0</v>
      </c>
      <c r="AV407" s="210"/>
      <c r="AW407" s="210"/>
      <c r="AX407" s="210"/>
      <c r="AY407" s="210"/>
      <c r="AZ407" s="993">
        <f>SUM(AV407,AW407,AX407,AY407)</f>
        <v>0</v>
      </c>
      <c r="BA407" s="210"/>
      <c r="BB407" s="210"/>
      <c r="BC407" s="210"/>
      <c r="BD407" s="210"/>
      <c r="BE407" s="993">
        <f>SUM(BA407,BB407,BC407,BD407)</f>
        <v>0</v>
      </c>
      <c r="BF407" s="210"/>
      <c r="BG407" s="210"/>
      <c r="BH407" s="553"/>
      <c r="BI407" s="210"/>
      <c r="BJ407" s="994">
        <f>SUM(BF407,BG407,BH407,BI407)</f>
        <v>0</v>
      </c>
      <c r="BK407" s="210"/>
      <c r="BL407" s="210"/>
      <c r="BM407" s="210"/>
      <c r="BN407" s="210"/>
      <c r="BO407" s="994">
        <f>SUM(BK407,BL407,BM407,BN407)</f>
        <v>0</v>
      </c>
      <c r="BP407" s="994"/>
      <c r="BQ407" s="994"/>
      <c r="BR407" s="994"/>
      <c r="BS407" s="833"/>
    </row>
    <row r="408" spans="1:71" s="24" customFormat="1" ht="15">
      <c r="A408" s="263" t="s">
        <v>148</v>
      </c>
      <c r="B408" s="462"/>
      <c r="C408" s="994"/>
      <c r="D408" s="994"/>
      <c r="E408" s="994"/>
      <c r="F408" s="994"/>
      <c r="G408" s="994"/>
      <c r="H408" s="210"/>
      <c r="I408" s="210"/>
      <c r="J408" s="210"/>
      <c r="K408" s="210"/>
      <c r="L408" s="994"/>
      <c r="M408" s="210"/>
      <c r="N408" s="210"/>
      <c r="O408" s="210"/>
      <c r="P408" s="210"/>
      <c r="Q408" s="994"/>
      <c r="R408" s="210"/>
      <c r="S408" s="210"/>
      <c r="T408" s="210"/>
      <c r="U408" s="210"/>
      <c r="V408" s="994"/>
      <c r="W408" s="210"/>
      <c r="X408" s="210"/>
      <c r="Y408" s="210"/>
      <c r="Z408" s="210"/>
      <c r="AA408" s="993">
        <f>SUM(W408,X408,Y408,Z408)</f>
        <v>0</v>
      </c>
      <c r="AB408" s="210"/>
      <c r="AC408" s="210"/>
      <c r="AD408" s="210"/>
      <c r="AE408" s="210"/>
      <c r="AF408" s="993">
        <f>SUM(AB408,AC408,AD408,AE408)</f>
        <v>0</v>
      </c>
      <c r="AG408" s="210"/>
      <c r="AH408" s="210"/>
      <c r="AI408" s="210"/>
      <c r="AJ408" s="210"/>
      <c r="AK408" s="993">
        <f>SUM(AG408,AH408,AI408,AJ408)</f>
        <v>0</v>
      </c>
      <c r="AL408" s="210"/>
      <c r="AM408" s="210"/>
      <c r="AN408" s="210"/>
      <c r="AO408" s="210"/>
      <c r="AP408" s="993">
        <f>SUM(AL408,AM408,AN408,AO408)</f>
        <v>0</v>
      </c>
      <c r="AQ408" s="210"/>
      <c r="AR408" s="210"/>
      <c r="AS408" s="210"/>
      <c r="AT408" s="210"/>
      <c r="AU408" s="993">
        <f>SUM(AQ408,AR408,AS408,AT408)</f>
        <v>0</v>
      </c>
      <c r="AV408" s="210"/>
      <c r="AW408" s="210"/>
      <c r="AX408" s="210"/>
      <c r="AY408" s="210"/>
      <c r="AZ408" s="993">
        <f>SUM(AV408,AW408,AX408,AY408)</f>
        <v>0</v>
      </c>
      <c r="BA408" s="210"/>
      <c r="BB408" s="210"/>
      <c r="BC408" s="210"/>
      <c r="BD408" s="210"/>
      <c r="BE408" s="993">
        <f>SUM(BA408,BB408,BC408,BD408)</f>
        <v>0</v>
      </c>
      <c r="BF408" s="210"/>
      <c r="BG408" s="210"/>
      <c r="BH408" s="553"/>
      <c r="BI408" s="210"/>
      <c r="BJ408" s="994">
        <f>SUM(BF408,BG408,BH408,BI408)</f>
        <v>0</v>
      </c>
      <c r="BK408" s="210"/>
      <c r="BL408" s="210"/>
      <c r="BM408" s="210"/>
      <c r="BN408" s="210"/>
      <c r="BO408" s="994">
        <f>SUM(BK408,BL408,BM408,BN408)</f>
        <v>0</v>
      </c>
      <c r="BP408" s="994"/>
      <c r="BQ408" s="994"/>
      <c r="BR408" s="994"/>
      <c r="BS408" s="833"/>
    </row>
    <row r="409" spans="1:71" s="24" customFormat="1" ht="15">
      <c r="A409" s="60" t="s">
        <v>149</v>
      </c>
      <c r="B409" s="478"/>
      <c r="C409" s="996">
        <f t="shared" si="810" ref="C409:AM409">-C362-C363</f>
        <v>29</v>
      </c>
      <c r="D409" s="996">
        <f t="shared" si="810"/>
        <v>28</v>
      </c>
      <c r="E409" s="996">
        <f t="shared" si="810"/>
        <v>12</v>
      </c>
      <c r="F409" s="996">
        <f t="shared" si="810"/>
        <v>19</v>
      </c>
      <c r="G409" s="996">
        <f t="shared" si="810"/>
        <v>27</v>
      </c>
      <c r="H409" s="205">
        <f t="shared" si="810"/>
        <v>7</v>
      </c>
      <c r="I409" s="205">
        <f t="shared" si="810"/>
        <v>5</v>
      </c>
      <c r="J409" s="205">
        <f t="shared" si="810"/>
        <v>7</v>
      </c>
      <c r="K409" s="205">
        <f t="shared" si="810"/>
        <v>8</v>
      </c>
      <c r="L409" s="996">
        <f t="shared" si="810"/>
        <v>27</v>
      </c>
      <c r="M409" s="205">
        <f t="shared" si="810"/>
        <v>6</v>
      </c>
      <c r="N409" s="205">
        <f t="shared" si="810"/>
        <v>6</v>
      </c>
      <c r="O409" s="205">
        <f t="shared" si="810"/>
        <v>6</v>
      </c>
      <c r="P409" s="205">
        <f t="shared" si="810"/>
        <v>7</v>
      </c>
      <c r="Q409" s="996">
        <f t="shared" si="810"/>
        <v>25</v>
      </c>
      <c r="R409" s="205">
        <f t="shared" si="810"/>
        <v>5</v>
      </c>
      <c r="S409" s="205">
        <f t="shared" si="810"/>
        <v>5</v>
      </c>
      <c r="T409" s="205">
        <f t="shared" si="810"/>
        <v>6</v>
      </c>
      <c r="U409" s="205">
        <f t="shared" si="810"/>
        <v>6</v>
      </c>
      <c r="V409" s="996">
        <f t="shared" si="810"/>
        <v>22</v>
      </c>
      <c r="W409" s="205">
        <f t="shared" si="810"/>
        <v>4</v>
      </c>
      <c r="X409" s="205">
        <f t="shared" si="810"/>
        <v>5</v>
      </c>
      <c r="Y409" s="205">
        <f t="shared" si="810"/>
        <v>2</v>
      </c>
      <c r="Z409" s="205">
        <f t="shared" si="810"/>
        <v>4</v>
      </c>
      <c r="AA409" s="996">
        <f t="shared" si="810"/>
        <v>15</v>
      </c>
      <c r="AB409" s="205">
        <f t="shared" si="810"/>
        <v>5</v>
      </c>
      <c r="AC409" s="205">
        <f t="shared" si="810"/>
        <v>4</v>
      </c>
      <c r="AD409" s="205">
        <f t="shared" si="810"/>
        <v>5</v>
      </c>
      <c r="AE409" s="205">
        <f t="shared" si="810"/>
        <v>5</v>
      </c>
      <c r="AF409" s="996">
        <f t="shared" si="810"/>
        <v>19</v>
      </c>
      <c r="AG409" s="205">
        <f t="shared" si="810"/>
        <v>5</v>
      </c>
      <c r="AH409" s="205">
        <f t="shared" si="810"/>
        <v>4</v>
      </c>
      <c r="AI409" s="205">
        <f t="shared" si="810"/>
        <v>3</v>
      </c>
      <c r="AJ409" s="205">
        <f t="shared" si="810"/>
        <v>7</v>
      </c>
      <c r="AK409" s="996">
        <f t="shared" si="810"/>
        <v>19</v>
      </c>
      <c r="AL409" s="205">
        <f t="shared" si="810"/>
        <v>5</v>
      </c>
      <c r="AM409" s="205">
        <f t="shared" si="810"/>
        <v>1</v>
      </c>
      <c r="AN409" s="205">
        <f>-AN362-AN363</f>
        <v>6</v>
      </c>
      <c r="AO409" s="205">
        <f t="shared" si="811" ref="AO409:AQ409">-AO362-AO363</f>
        <v>7</v>
      </c>
      <c r="AP409" s="996">
        <f t="shared" si="811"/>
        <v>19</v>
      </c>
      <c r="AQ409" s="205">
        <f t="shared" si="811"/>
        <v>5</v>
      </c>
      <c r="AR409" s="205">
        <f t="shared" si="812" ref="AR409:AW409">-AR362-AR363</f>
        <v>7</v>
      </c>
      <c r="AS409" s="205">
        <f t="shared" si="812"/>
        <v>5</v>
      </c>
      <c r="AT409" s="205">
        <f t="shared" si="812"/>
        <v>10</v>
      </c>
      <c r="AU409" s="996">
        <f t="shared" si="812"/>
        <v>27</v>
      </c>
      <c r="AV409" s="205">
        <f t="shared" si="812"/>
        <v>7</v>
      </c>
      <c r="AW409" s="205">
        <f t="shared" si="812"/>
        <v>4</v>
      </c>
      <c r="AX409" s="205">
        <f t="shared" si="813" ref="AX409:BC409">-AX362-AX363</f>
        <v>4</v>
      </c>
      <c r="AY409" s="205">
        <f t="shared" si="813"/>
        <v>5</v>
      </c>
      <c r="AZ409" s="996">
        <f t="shared" si="813"/>
        <v>20</v>
      </c>
      <c r="BA409" s="205">
        <f t="shared" si="813"/>
        <v>7</v>
      </c>
      <c r="BB409" s="205">
        <f t="shared" si="813"/>
        <v>1</v>
      </c>
      <c r="BC409" s="205">
        <f t="shared" si="813"/>
        <v>3</v>
      </c>
      <c r="BD409" s="205">
        <f>-BD362-BD363</f>
        <v>12</v>
      </c>
      <c r="BE409" s="996">
        <f>-BE362-BE363</f>
        <v>22</v>
      </c>
      <c r="BF409" s="205">
        <f>-BF362-BF363</f>
        <v>8</v>
      </c>
      <c r="BG409" s="205">
        <f>-BG362-BG363</f>
        <v>5</v>
      </c>
      <c r="BH409" s="658">
        <f>-BH362-BH363</f>
        <v>10</v>
      </c>
      <c r="BI409" s="927">
        <v>7</v>
      </c>
      <c r="BJ409" s="996">
        <f>SUM(BF409,BG409,BH409,BI409)</f>
        <v>30</v>
      </c>
      <c r="BK409" s="927">
        <v>7</v>
      </c>
      <c r="BL409" s="927">
        <v>7</v>
      </c>
      <c r="BM409" s="927">
        <v>7</v>
      </c>
      <c r="BN409" s="927">
        <v>7</v>
      </c>
      <c r="BO409" s="996">
        <f>SUM(BK409,BL409,BM409,BN409)</f>
        <v>28</v>
      </c>
      <c r="BP409" s="1033">
        <v>28</v>
      </c>
      <c r="BQ409" s="1033">
        <v>28</v>
      </c>
      <c r="BR409" s="1033">
        <v>28</v>
      </c>
      <c r="BS409" s="833"/>
    </row>
    <row r="410" spans="1:71" s="181" customFormat="1" ht="15">
      <c r="A410" s="63" t="s">
        <v>150</v>
      </c>
      <c r="B410" s="481"/>
      <c r="C410" s="1044">
        <f t="shared" si="814" ref="C410:AM410">C405-SUM(C406:C409)</f>
        <v>3593</v>
      </c>
      <c r="D410" s="1044">
        <f t="shared" si="814"/>
        <v>3188</v>
      </c>
      <c r="E410" s="1044">
        <f t="shared" si="814"/>
        <v>1414</v>
      </c>
      <c r="F410" s="1044">
        <f t="shared" si="814"/>
        <v>2454</v>
      </c>
      <c r="G410" s="1044">
        <f t="shared" si="814"/>
        <v>3646</v>
      </c>
      <c r="H410" s="91">
        <f t="shared" si="814"/>
        <v>1045</v>
      </c>
      <c r="I410" s="91">
        <f t="shared" si="814"/>
        <v>678</v>
      </c>
      <c r="J410" s="91">
        <f t="shared" si="814"/>
        <v>912</v>
      </c>
      <c r="K410" s="91">
        <f t="shared" si="814"/>
        <v>1030</v>
      </c>
      <c r="L410" s="1044">
        <f t="shared" si="814"/>
        <v>3665</v>
      </c>
      <c r="M410" s="91">
        <f t="shared" si="814"/>
        <v>827</v>
      </c>
      <c r="N410" s="91">
        <f t="shared" si="814"/>
        <v>806</v>
      </c>
      <c r="O410" s="91">
        <f t="shared" si="814"/>
        <v>922</v>
      </c>
      <c r="P410" s="91">
        <f t="shared" si="814"/>
        <v>859</v>
      </c>
      <c r="Q410" s="1044">
        <f t="shared" si="814"/>
        <v>3414</v>
      </c>
      <c r="R410" s="91">
        <f t="shared" si="814"/>
        <v>686</v>
      </c>
      <c r="S410" s="91">
        <f t="shared" si="814"/>
        <v>659</v>
      </c>
      <c r="T410" s="91">
        <f t="shared" si="814"/>
        <v>710</v>
      </c>
      <c r="U410" s="91">
        <f t="shared" si="814"/>
        <v>937</v>
      </c>
      <c r="V410" s="1044">
        <f t="shared" si="814"/>
        <v>2992</v>
      </c>
      <c r="W410" s="91">
        <f t="shared" si="814"/>
        <v>613</v>
      </c>
      <c r="X410" s="91">
        <f t="shared" si="814"/>
        <v>590</v>
      </c>
      <c r="Y410" s="91">
        <f t="shared" si="814"/>
        <v>291</v>
      </c>
      <c r="Z410" s="91">
        <f t="shared" si="814"/>
        <v>547</v>
      </c>
      <c r="AA410" s="1044">
        <f t="shared" si="814"/>
        <v>2041</v>
      </c>
      <c r="AB410" s="91">
        <f t="shared" si="814"/>
        <v>664</v>
      </c>
      <c r="AC410" s="91">
        <f t="shared" si="814"/>
        <v>520</v>
      </c>
      <c r="AD410" s="91">
        <f t="shared" si="814"/>
        <v>704</v>
      </c>
      <c r="AE410" s="91">
        <f t="shared" si="814"/>
        <v>616</v>
      </c>
      <c r="AF410" s="1044">
        <f t="shared" si="814"/>
        <v>2504</v>
      </c>
      <c r="AG410" s="91">
        <f t="shared" si="814"/>
        <v>791</v>
      </c>
      <c r="AH410" s="91">
        <f t="shared" si="814"/>
        <v>553</v>
      </c>
      <c r="AI410" s="91">
        <f t="shared" si="814"/>
        <v>393</v>
      </c>
      <c r="AJ410" s="91">
        <f t="shared" si="814"/>
        <v>866</v>
      </c>
      <c r="AK410" s="1044">
        <f t="shared" si="814"/>
        <v>2603</v>
      </c>
      <c r="AL410" s="91">
        <f t="shared" si="814"/>
        <v>595</v>
      </c>
      <c r="AM410" s="91">
        <f t="shared" si="814"/>
        <v>-41</v>
      </c>
      <c r="AN410" s="91">
        <f>AN405-SUM(AN406:AN409)</f>
        <v>821</v>
      </c>
      <c r="AO410" s="91">
        <f t="shared" si="815" ref="AO410:AP410">AO405-SUM(AO406:AO409)</f>
        <v>1303</v>
      </c>
      <c r="AP410" s="1044">
        <f t="shared" si="815"/>
        <v>2678</v>
      </c>
      <c r="AQ410" s="91">
        <f t="shared" si="816" ref="AQ410">AQ405-SUM(AQ406:AQ409)</f>
        <v>728</v>
      </c>
      <c r="AR410" s="91">
        <f t="shared" si="817" ref="AR410:AW410">AR405-SUM(AR406:AR409)</f>
        <v>927</v>
      </c>
      <c r="AS410" s="91">
        <f t="shared" si="817"/>
        <v>657</v>
      </c>
      <c r="AT410" s="91">
        <f t="shared" si="817"/>
        <v>1323</v>
      </c>
      <c r="AU410" s="1044">
        <f t="shared" si="817"/>
        <v>3635</v>
      </c>
      <c r="AV410" s="91">
        <f t="shared" si="817"/>
        <v>1011</v>
      </c>
      <c r="AW410" s="91">
        <f t="shared" si="817"/>
        <v>547</v>
      </c>
      <c r="AX410" s="91">
        <f t="shared" si="818" ref="AX410:BJ410">AX405-SUM(AX406:AX409)</f>
        <v>450</v>
      </c>
      <c r="AY410" s="91">
        <f t="shared" si="818"/>
        <v>814</v>
      </c>
      <c r="AZ410" s="1044">
        <f t="shared" si="818"/>
        <v>2822</v>
      </c>
      <c r="BA410" s="91">
        <f t="shared" si="819" ref="BA410:BI410">BA405-SUM(BA406:BA409)</f>
        <v>968</v>
      </c>
      <c r="BB410" s="91">
        <f t="shared" si="819"/>
        <v>-15</v>
      </c>
      <c r="BC410" s="91">
        <f t="shared" si="819"/>
        <v>401</v>
      </c>
      <c r="BD410" s="91">
        <f t="shared" si="819"/>
        <v>1614</v>
      </c>
      <c r="BE410" s="1044">
        <f t="shared" si="819"/>
        <v>2969</v>
      </c>
      <c r="BF410" s="91">
        <f>BF405-SUM(BF406:BF409)</f>
        <v>1115</v>
      </c>
      <c r="BG410" s="91">
        <f>BG405-SUM(BG406:BG409)</f>
        <v>529</v>
      </c>
      <c r="BH410" s="804">
        <f>BH405-SUM(BH406:BH409)</f>
        <v>1250</v>
      </c>
      <c r="BI410" s="334">
        <f t="shared" si="819"/>
        <v>1442.3530970300685</v>
      </c>
      <c r="BJ410" s="1045">
        <f t="shared" si="818"/>
        <v>4336.3530970300617</v>
      </c>
      <c r="BK410" s="334">
        <f t="shared" si="820" ref="BK410:BR410">BK405-SUM(BK406:BK409)</f>
        <v>1294.7626772224119</v>
      </c>
      <c r="BL410" s="334">
        <f t="shared" si="820"/>
        <v>877.09699517122965</v>
      </c>
      <c r="BM410" s="334">
        <f t="shared" si="820"/>
        <v>1071.1874870455722</v>
      </c>
      <c r="BN410" s="334">
        <f t="shared" si="820"/>
        <v>1514.8357756470418</v>
      </c>
      <c r="BO410" s="1045">
        <f t="shared" si="820"/>
        <v>4757.8829350862425</v>
      </c>
      <c r="BP410" s="1045">
        <f t="shared" si="820"/>
        <v>5224.8451105356808</v>
      </c>
      <c r="BQ410" s="1045">
        <f t="shared" si="820"/>
        <v>5614.7033276620832</v>
      </c>
      <c r="BR410" s="1045">
        <f t="shared" si="820"/>
        <v>5117.8457754215715</v>
      </c>
      <c r="BS410" s="423"/>
    </row>
    <row r="411" spans="1:71" s="24" customFormat="1" ht="15">
      <c r="A411" s="338" t="s">
        <v>151</v>
      </c>
      <c r="B411" s="491"/>
      <c r="C411" s="1059">
        <f t="shared" si="821" ref="C411:AM411">-SUM(C365:C367)</f>
        <v>-6</v>
      </c>
      <c r="D411" s="1059">
        <f t="shared" si="821"/>
        <v>-5</v>
      </c>
      <c r="E411" s="1059">
        <f t="shared" si="821"/>
        <v>-1</v>
      </c>
      <c r="F411" s="1059">
        <f t="shared" si="821"/>
        <v>0</v>
      </c>
      <c r="G411" s="1059">
        <f t="shared" si="821"/>
        <v>0</v>
      </c>
      <c r="H411" s="492">
        <f t="shared" si="821"/>
        <v>0</v>
      </c>
      <c r="I411" s="492">
        <f t="shared" si="821"/>
        <v>0</v>
      </c>
      <c r="J411" s="492">
        <f t="shared" si="821"/>
        <v>0</v>
      </c>
      <c r="K411" s="492">
        <f t="shared" si="821"/>
        <v>0</v>
      </c>
      <c r="L411" s="1059">
        <f t="shared" si="821"/>
        <v>0</v>
      </c>
      <c r="M411" s="492">
        <f t="shared" si="821"/>
        <v>0</v>
      </c>
      <c r="N411" s="492">
        <f t="shared" si="821"/>
        <v>0</v>
      </c>
      <c r="O411" s="492">
        <f t="shared" si="821"/>
        <v>0</v>
      </c>
      <c r="P411" s="492">
        <f t="shared" si="821"/>
        <v>0</v>
      </c>
      <c r="Q411" s="1059">
        <f t="shared" si="821"/>
        <v>0</v>
      </c>
      <c r="R411" s="492">
        <f t="shared" si="821"/>
        <v>0</v>
      </c>
      <c r="S411" s="492">
        <f t="shared" si="821"/>
        <v>0</v>
      </c>
      <c r="T411" s="492">
        <f t="shared" si="821"/>
        <v>0</v>
      </c>
      <c r="U411" s="492">
        <f t="shared" si="821"/>
        <v>0</v>
      </c>
      <c r="V411" s="1059">
        <f t="shared" si="821"/>
        <v>0</v>
      </c>
      <c r="W411" s="492">
        <f t="shared" si="821"/>
        <v>0</v>
      </c>
      <c r="X411" s="492">
        <f t="shared" si="821"/>
        <v>0</v>
      </c>
      <c r="Y411" s="492">
        <f t="shared" si="821"/>
        <v>0</v>
      </c>
      <c r="Z411" s="492">
        <f t="shared" si="821"/>
        <v>0</v>
      </c>
      <c r="AA411" s="1059">
        <f t="shared" si="821"/>
        <v>0</v>
      </c>
      <c r="AB411" s="492">
        <f t="shared" si="821"/>
        <v>0</v>
      </c>
      <c r="AC411" s="492">
        <f t="shared" si="821"/>
        <v>0</v>
      </c>
      <c r="AD411" s="492">
        <f t="shared" si="821"/>
        <v>0</v>
      </c>
      <c r="AE411" s="492">
        <f t="shared" si="821"/>
        <v>0</v>
      </c>
      <c r="AF411" s="1059">
        <f t="shared" si="821"/>
        <v>0</v>
      </c>
      <c r="AG411" s="492">
        <f t="shared" si="821"/>
        <v>0</v>
      </c>
      <c r="AH411" s="492">
        <f t="shared" si="821"/>
        <v>0</v>
      </c>
      <c r="AI411" s="492">
        <f t="shared" si="821"/>
        <v>0</v>
      </c>
      <c r="AJ411" s="492">
        <f t="shared" si="821"/>
        <v>0</v>
      </c>
      <c r="AK411" s="1059">
        <f t="shared" si="821"/>
        <v>0</v>
      </c>
      <c r="AL411" s="492">
        <f t="shared" si="821"/>
        <v>0</v>
      </c>
      <c r="AM411" s="492">
        <f t="shared" si="821"/>
        <v>0</v>
      </c>
      <c r="AN411" s="492">
        <f>-SUM(AN365:AN367)</f>
        <v>0</v>
      </c>
      <c r="AO411" s="492">
        <f t="shared" si="822" ref="AO411:AP411">-SUM(AO365:AO367)</f>
        <v>0</v>
      </c>
      <c r="AP411" s="1059">
        <f t="shared" si="822"/>
        <v>0</v>
      </c>
      <c r="AQ411" s="492">
        <f t="shared" si="823" ref="AQ411">-SUM(AQ365:AQ367)</f>
        <v>0</v>
      </c>
      <c r="AR411" s="492">
        <f t="shared" si="824" ref="AR411:AW411">-SUM(AR365:AR367)</f>
        <v>0</v>
      </c>
      <c r="AS411" s="492">
        <f t="shared" si="824"/>
        <v>0</v>
      </c>
      <c r="AT411" s="492">
        <f t="shared" si="824"/>
        <v>0</v>
      </c>
      <c r="AU411" s="1059">
        <f t="shared" si="824"/>
        <v>0</v>
      </c>
      <c r="AV411" s="492">
        <f t="shared" si="824"/>
        <v>0</v>
      </c>
      <c r="AW411" s="492">
        <f t="shared" si="824"/>
        <v>0</v>
      </c>
      <c r="AX411" s="492">
        <f t="shared" si="825" ref="AX411:BC411">-SUM(AX365:AX367)</f>
        <v>0</v>
      </c>
      <c r="AY411" s="492">
        <f t="shared" si="825"/>
        <v>0</v>
      </c>
      <c r="AZ411" s="1059">
        <f t="shared" si="825"/>
        <v>0</v>
      </c>
      <c r="BA411" s="492">
        <f t="shared" si="825"/>
        <v>0</v>
      </c>
      <c r="BB411" s="492">
        <f t="shared" si="825"/>
        <v>0</v>
      </c>
      <c r="BC411" s="492">
        <f t="shared" si="825"/>
        <v>0</v>
      </c>
      <c r="BD411" s="492">
        <f>-SUM(BD365:BD367)</f>
        <v>0</v>
      </c>
      <c r="BE411" s="1059">
        <f>-SUM(BE365:BE367)</f>
        <v>0</v>
      </c>
      <c r="BF411" s="492">
        <f>-SUM(BF365:BF367)</f>
        <v>0</v>
      </c>
      <c r="BG411" s="492">
        <f>-SUM(BG365:BG367)</f>
        <v>0</v>
      </c>
      <c r="BH411" s="948">
        <f>-SUM(BH365:BH367)</f>
        <v>0</v>
      </c>
      <c r="BI411" s="492"/>
      <c r="BJ411" s="1059"/>
      <c r="BK411" s="492"/>
      <c r="BL411" s="492"/>
      <c r="BM411" s="492"/>
      <c r="BN411" s="492"/>
      <c r="BO411" s="1059"/>
      <c r="BP411" s="1059"/>
      <c r="BQ411" s="1059"/>
      <c r="BR411" s="1059"/>
      <c r="BS411" s="833"/>
    </row>
    <row r="412" spans="1:71" s="181" customFormat="1" ht="15">
      <c r="A412" s="63" t="s">
        <v>152</v>
      </c>
      <c r="B412" s="481"/>
      <c r="C412" s="1044">
        <f t="shared" si="826" ref="C412:AM412">C410-C411</f>
        <v>3599</v>
      </c>
      <c r="D412" s="1044">
        <f t="shared" si="826"/>
        <v>3193</v>
      </c>
      <c r="E412" s="1044">
        <f t="shared" si="826"/>
        <v>1415</v>
      </c>
      <c r="F412" s="1044">
        <f t="shared" si="826"/>
        <v>2454</v>
      </c>
      <c r="G412" s="1044">
        <f t="shared" si="826"/>
        <v>3646</v>
      </c>
      <c r="H412" s="91">
        <f t="shared" si="826"/>
        <v>1045</v>
      </c>
      <c r="I412" s="91">
        <f t="shared" si="826"/>
        <v>678</v>
      </c>
      <c r="J412" s="91">
        <f t="shared" si="826"/>
        <v>912</v>
      </c>
      <c r="K412" s="91">
        <f t="shared" si="826"/>
        <v>1030</v>
      </c>
      <c r="L412" s="1044">
        <f t="shared" si="826"/>
        <v>3665</v>
      </c>
      <c r="M412" s="91">
        <f t="shared" si="826"/>
        <v>827</v>
      </c>
      <c r="N412" s="91">
        <f t="shared" si="826"/>
        <v>806</v>
      </c>
      <c r="O412" s="91">
        <f t="shared" si="826"/>
        <v>922</v>
      </c>
      <c r="P412" s="91">
        <f t="shared" si="826"/>
        <v>859</v>
      </c>
      <c r="Q412" s="1044">
        <f t="shared" si="826"/>
        <v>3414</v>
      </c>
      <c r="R412" s="91">
        <f t="shared" si="826"/>
        <v>686</v>
      </c>
      <c r="S412" s="91">
        <f t="shared" si="826"/>
        <v>659</v>
      </c>
      <c r="T412" s="91">
        <f t="shared" si="826"/>
        <v>710</v>
      </c>
      <c r="U412" s="91">
        <f t="shared" si="826"/>
        <v>937</v>
      </c>
      <c r="V412" s="1044">
        <f t="shared" si="826"/>
        <v>2992</v>
      </c>
      <c r="W412" s="91">
        <f t="shared" si="826"/>
        <v>613</v>
      </c>
      <c r="X412" s="91">
        <f t="shared" si="826"/>
        <v>590</v>
      </c>
      <c r="Y412" s="91">
        <f t="shared" si="826"/>
        <v>291</v>
      </c>
      <c r="Z412" s="91">
        <f t="shared" si="826"/>
        <v>547</v>
      </c>
      <c r="AA412" s="1044">
        <f t="shared" si="826"/>
        <v>2041</v>
      </c>
      <c r="AB412" s="91">
        <f t="shared" si="826"/>
        <v>664</v>
      </c>
      <c r="AC412" s="91">
        <f t="shared" si="826"/>
        <v>520</v>
      </c>
      <c r="AD412" s="91">
        <f t="shared" si="826"/>
        <v>704</v>
      </c>
      <c r="AE412" s="91">
        <f t="shared" si="826"/>
        <v>616</v>
      </c>
      <c r="AF412" s="1044">
        <f t="shared" si="826"/>
        <v>2504</v>
      </c>
      <c r="AG412" s="91">
        <f t="shared" si="826"/>
        <v>791</v>
      </c>
      <c r="AH412" s="91">
        <f t="shared" si="826"/>
        <v>553</v>
      </c>
      <c r="AI412" s="91">
        <f t="shared" si="826"/>
        <v>393</v>
      </c>
      <c r="AJ412" s="91">
        <f t="shared" si="826"/>
        <v>866</v>
      </c>
      <c r="AK412" s="1044">
        <f t="shared" si="826"/>
        <v>2603</v>
      </c>
      <c r="AL412" s="91">
        <f t="shared" si="826"/>
        <v>595</v>
      </c>
      <c r="AM412" s="91">
        <f t="shared" si="826"/>
        <v>-41</v>
      </c>
      <c r="AN412" s="91">
        <f>AN410-AN411</f>
        <v>821</v>
      </c>
      <c r="AO412" s="91">
        <f t="shared" si="827" ref="AO412:AQ412">AO410-AO411</f>
        <v>1303</v>
      </c>
      <c r="AP412" s="1044">
        <f t="shared" si="827"/>
        <v>2678</v>
      </c>
      <c r="AQ412" s="91">
        <f t="shared" si="827"/>
        <v>728</v>
      </c>
      <c r="AR412" s="91">
        <f t="shared" si="828" ref="AR412:AW412">AR410-AR411</f>
        <v>927</v>
      </c>
      <c r="AS412" s="91">
        <f t="shared" si="828"/>
        <v>657</v>
      </c>
      <c r="AT412" s="91">
        <f t="shared" si="828"/>
        <v>1323</v>
      </c>
      <c r="AU412" s="1044">
        <f t="shared" si="828"/>
        <v>3635</v>
      </c>
      <c r="AV412" s="91">
        <f t="shared" si="828"/>
        <v>1011</v>
      </c>
      <c r="AW412" s="91">
        <f t="shared" si="828"/>
        <v>547</v>
      </c>
      <c r="AX412" s="91">
        <f t="shared" si="829" ref="AX412:BJ412">AX410-AX411</f>
        <v>450</v>
      </c>
      <c r="AY412" s="91">
        <f t="shared" si="829"/>
        <v>814</v>
      </c>
      <c r="AZ412" s="1044">
        <f t="shared" si="829"/>
        <v>2822</v>
      </c>
      <c r="BA412" s="91">
        <f t="shared" si="830" ref="BA412:BI412">BA410-BA411</f>
        <v>968</v>
      </c>
      <c r="BB412" s="91">
        <f t="shared" si="830"/>
        <v>-15</v>
      </c>
      <c r="BC412" s="91">
        <f t="shared" si="830"/>
        <v>401</v>
      </c>
      <c r="BD412" s="91">
        <f t="shared" si="830"/>
        <v>1614</v>
      </c>
      <c r="BE412" s="1044">
        <f t="shared" si="830"/>
        <v>2969</v>
      </c>
      <c r="BF412" s="91">
        <f>BF410-BF411</f>
        <v>1115</v>
      </c>
      <c r="BG412" s="91">
        <f>BG410-BG411</f>
        <v>529</v>
      </c>
      <c r="BH412" s="804">
        <f>BH410-BH411</f>
        <v>1250</v>
      </c>
      <c r="BI412" s="334">
        <f t="shared" si="830"/>
        <v>1442.3530970300685</v>
      </c>
      <c r="BJ412" s="1045">
        <f t="shared" si="829"/>
        <v>4336.3530970300617</v>
      </c>
      <c r="BK412" s="334">
        <f t="shared" si="831" ref="BK412:BR412">BK410-BK411</f>
        <v>1294.7626772224119</v>
      </c>
      <c r="BL412" s="334">
        <f t="shared" si="831"/>
        <v>877.09699517122965</v>
      </c>
      <c r="BM412" s="334">
        <f t="shared" si="831"/>
        <v>1071.1874870455722</v>
      </c>
      <c r="BN412" s="334">
        <f t="shared" si="831"/>
        <v>1514.8357756470418</v>
      </c>
      <c r="BO412" s="1045">
        <f t="shared" si="831"/>
        <v>4757.8829350862425</v>
      </c>
      <c r="BP412" s="1045">
        <f t="shared" si="831"/>
        <v>5224.8451105356808</v>
      </c>
      <c r="BQ412" s="1045">
        <f t="shared" si="831"/>
        <v>5614.7033276620832</v>
      </c>
      <c r="BR412" s="1045">
        <f t="shared" si="831"/>
        <v>5117.8457754215715</v>
      </c>
      <c r="BS412" s="423"/>
    </row>
    <row r="413" spans="1:71" s="24" customFormat="1" ht="15">
      <c r="A413" s="87" t="s">
        <v>153</v>
      </c>
      <c r="B413" s="483"/>
      <c r="C413" s="1055">
        <f t="shared" si="832" ref="C413:AV413">-SUM(C371:C373)</f>
        <v>22</v>
      </c>
      <c r="D413" s="1055">
        <f t="shared" si="832"/>
        <v>173</v>
      </c>
      <c r="E413" s="1055">
        <f t="shared" si="832"/>
        <v>36</v>
      </c>
      <c r="F413" s="1055">
        <f t="shared" si="832"/>
        <v>32</v>
      </c>
      <c r="G413" s="1055">
        <f t="shared" si="832"/>
        <v>106</v>
      </c>
      <c r="H413" s="102">
        <f t="shared" si="832"/>
        <v>0</v>
      </c>
      <c r="I413" s="102">
        <f t="shared" si="832"/>
        <v>10</v>
      </c>
      <c r="J413" s="102">
        <f t="shared" si="832"/>
        <v>26</v>
      </c>
      <c r="K413" s="102">
        <f t="shared" si="832"/>
        <v>15</v>
      </c>
      <c r="L413" s="1055">
        <f t="shared" si="832"/>
        <v>51</v>
      </c>
      <c r="M413" s="102">
        <f t="shared" si="832"/>
        <v>6</v>
      </c>
      <c r="N413" s="102">
        <f t="shared" si="832"/>
        <v>6</v>
      </c>
      <c r="O413" s="102">
        <f t="shared" si="832"/>
        <v>10</v>
      </c>
      <c r="P413" s="102">
        <f t="shared" si="832"/>
        <v>-20</v>
      </c>
      <c r="Q413" s="1055">
        <f t="shared" si="832"/>
        <v>2</v>
      </c>
      <c r="R413" s="102">
        <f t="shared" si="832"/>
        <v>-7</v>
      </c>
      <c r="S413" s="102">
        <f t="shared" si="832"/>
        <v>15</v>
      </c>
      <c r="T413" s="102">
        <f t="shared" si="832"/>
        <v>15</v>
      </c>
      <c r="U413" s="102">
        <f t="shared" si="832"/>
        <v>24</v>
      </c>
      <c r="V413" s="1055">
        <f t="shared" si="832"/>
        <v>47</v>
      </c>
      <c r="W413" s="102">
        <f t="shared" si="832"/>
        <v>3</v>
      </c>
      <c r="X413" s="102">
        <f t="shared" si="832"/>
        <v>52</v>
      </c>
      <c r="Y413" s="102">
        <f t="shared" si="832"/>
        <v>40</v>
      </c>
      <c r="Z413" s="484">
        <f t="shared" si="832"/>
        <v>-82</v>
      </c>
      <c r="AA413" s="1055">
        <f t="shared" si="832"/>
        <v>13</v>
      </c>
      <c r="AB413" s="102">
        <f t="shared" si="832"/>
        <v>-9</v>
      </c>
      <c r="AC413" s="102">
        <f t="shared" si="832"/>
        <v>30</v>
      </c>
      <c r="AD413" s="102">
        <f t="shared" si="832"/>
        <v>22</v>
      </c>
      <c r="AE413" s="484">
        <f t="shared" si="832"/>
        <v>50</v>
      </c>
      <c r="AF413" s="1055">
        <f t="shared" si="832"/>
        <v>93</v>
      </c>
      <c r="AG413" s="102">
        <f t="shared" si="832"/>
        <v>41</v>
      </c>
      <c r="AH413" s="102">
        <f t="shared" si="832"/>
        <v>20</v>
      </c>
      <c r="AI413" s="102">
        <f t="shared" si="832"/>
        <v>18</v>
      </c>
      <c r="AJ413" s="484">
        <f t="shared" si="832"/>
        <v>6</v>
      </c>
      <c r="AK413" s="1055">
        <f t="shared" si="832"/>
        <v>85</v>
      </c>
      <c r="AL413" s="102">
        <f t="shared" si="832"/>
        <v>-76</v>
      </c>
      <c r="AM413" s="102">
        <f t="shared" si="832"/>
        <v>10</v>
      </c>
      <c r="AN413" s="102">
        <f t="shared" si="832"/>
        <v>29</v>
      </c>
      <c r="AO413" s="484">
        <f t="shared" si="832"/>
        <v>48</v>
      </c>
      <c r="AP413" s="1055">
        <f t="shared" si="832"/>
        <v>11</v>
      </c>
      <c r="AQ413" s="102">
        <f t="shared" si="832"/>
        <v>34</v>
      </c>
      <c r="AR413" s="102">
        <f t="shared" si="832"/>
        <v>55</v>
      </c>
      <c r="AS413" s="102">
        <f t="shared" si="832"/>
        <v>7</v>
      </c>
      <c r="AT413" s="484">
        <f t="shared" si="832"/>
        <v>44</v>
      </c>
      <c r="AU413" s="1055">
        <f t="shared" si="832"/>
        <v>140</v>
      </c>
      <c r="AV413" s="102">
        <f t="shared" si="832"/>
        <v>-19</v>
      </c>
      <c r="AW413" s="102">
        <f t="shared" si="833" ref="AW413:AZ413">-SUM(AW371:AW373)</f>
        <v>-74</v>
      </c>
      <c r="AX413" s="102">
        <f t="shared" si="833"/>
        <v>-72</v>
      </c>
      <c r="AY413" s="484">
        <f t="shared" si="833"/>
        <v>9</v>
      </c>
      <c r="AZ413" s="1055">
        <f t="shared" si="833"/>
        <v>-156</v>
      </c>
      <c r="BA413" s="102">
        <f t="shared" si="834" ref="BA413:BI413">-SUM(BA371:BA373)</f>
        <v>5</v>
      </c>
      <c r="BB413" s="102">
        <f t="shared" si="834"/>
        <v>-29</v>
      </c>
      <c r="BC413" s="102">
        <f t="shared" si="834"/>
        <v>-50</v>
      </c>
      <c r="BD413" s="484">
        <f t="shared" si="834"/>
        <v>-7</v>
      </c>
      <c r="BE413" s="1055">
        <f t="shared" si="834"/>
        <v>-81</v>
      </c>
      <c r="BF413" s="102">
        <f>-SUM(BF371:BF373)</f>
        <v>27</v>
      </c>
      <c r="BG413" s="102">
        <f>-SUM(BG371:BG373)</f>
        <v>-51</v>
      </c>
      <c r="BH413" s="766">
        <f>-SUM(BH371:BH373)</f>
        <v>42</v>
      </c>
      <c r="BI413" s="484">
        <f t="shared" si="834"/>
        <v>13.35</v>
      </c>
      <c r="BJ413" s="1046">
        <f>SUM(BF413,BG413,BH413,BI413)</f>
        <v>31.35</v>
      </c>
      <c r="BK413" s="484">
        <f>-SUM(BK371:BK373)</f>
        <v>13.35</v>
      </c>
      <c r="BL413" s="484">
        <f>-SUM(BL371:BL373)</f>
        <v>13.35</v>
      </c>
      <c r="BM413" s="484">
        <f>-SUM(BM371:BM373)</f>
        <v>12.60</v>
      </c>
      <c r="BN413" s="484">
        <f>-SUM(BN371:BN373)</f>
        <v>13.50</v>
      </c>
      <c r="BO413" s="1046">
        <f>SUM(BK413,BL413,BM413,BN413)</f>
        <v>52.80</v>
      </c>
      <c r="BP413" s="1046">
        <f>-SUM(BP371:BP373)</f>
        <v>53.40</v>
      </c>
      <c r="BQ413" s="1046">
        <f>-SUM(BQ371:BQ373)</f>
        <v>49.499999999999986</v>
      </c>
      <c r="BR413" s="1046">
        <f>-SUM(BR371:BR373)</f>
        <v>49.499999999999986</v>
      </c>
      <c r="BS413" s="833"/>
    </row>
    <row r="414" spans="1:71" s="24" customFormat="1" ht="15">
      <c r="A414" s="589" t="s">
        <v>154</v>
      </c>
      <c r="B414" s="478"/>
      <c r="C414" s="996">
        <f t="shared" si="835" ref="C414:AV414">+C363+C366+C367</f>
        <v>-23</v>
      </c>
      <c r="D414" s="996">
        <f t="shared" si="835"/>
        <v>-23</v>
      </c>
      <c r="E414" s="996">
        <f t="shared" si="835"/>
        <v>-11</v>
      </c>
      <c r="F414" s="996">
        <f t="shared" si="835"/>
        <v>-19</v>
      </c>
      <c r="G414" s="996">
        <f t="shared" si="835"/>
        <v>-27</v>
      </c>
      <c r="H414" s="205">
        <f t="shared" si="835"/>
        <v>-7</v>
      </c>
      <c r="I414" s="205">
        <f t="shared" si="835"/>
        <v>-5</v>
      </c>
      <c r="J414" s="205">
        <f t="shared" si="835"/>
        <v>-7</v>
      </c>
      <c r="K414" s="205">
        <f t="shared" si="835"/>
        <v>-8</v>
      </c>
      <c r="L414" s="996">
        <f t="shared" si="835"/>
        <v>-27</v>
      </c>
      <c r="M414" s="205">
        <f t="shared" si="835"/>
        <v>-6</v>
      </c>
      <c r="N414" s="205">
        <f t="shared" si="835"/>
        <v>-6</v>
      </c>
      <c r="O414" s="205">
        <f t="shared" si="835"/>
        <v>-6</v>
      </c>
      <c r="P414" s="205">
        <f t="shared" si="835"/>
        <v>-7</v>
      </c>
      <c r="Q414" s="996">
        <f t="shared" si="835"/>
        <v>-25</v>
      </c>
      <c r="R414" s="205">
        <f t="shared" si="835"/>
        <v>-5</v>
      </c>
      <c r="S414" s="205">
        <f t="shared" si="835"/>
        <v>-5</v>
      </c>
      <c r="T414" s="205">
        <f t="shared" si="835"/>
        <v>-6</v>
      </c>
      <c r="U414" s="205">
        <f t="shared" si="835"/>
        <v>-6</v>
      </c>
      <c r="V414" s="996">
        <f t="shared" si="835"/>
        <v>-22</v>
      </c>
      <c r="W414" s="205">
        <f t="shared" si="835"/>
        <v>-4</v>
      </c>
      <c r="X414" s="205">
        <f t="shared" si="835"/>
        <v>-5</v>
      </c>
      <c r="Y414" s="205">
        <f t="shared" si="835"/>
        <v>-2</v>
      </c>
      <c r="Z414" s="205">
        <f t="shared" si="835"/>
        <v>-4</v>
      </c>
      <c r="AA414" s="996">
        <f t="shared" si="835"/>
        <v>-15</v>
      </c>
      <c r="AB414" s="205">
        <f t="shared" si="835"/>
        <v>-5</v>
      </c>
      <c r="AC414" s="205">
        <f t="shared" si="835"/>
        <v>-4</v>
      </c>
      <c r="AD414" s="205">
        <f t="shared" si="835"/>
        <v>-5</v>
      </c>
      <c r="AE414" s="205">
        <f t="shared" si="835"/>
        <v>-5</v>
      </c>
      <c r="AF414" s="996">
        <f t="shared" si="835"/>
        <v>-19</v>
      </c>
      <c r="AG414" s="205">
        <f t="shared" si="835"/>
        <v>-5</v>
      </c>
      <c r="AH414" s="205">
        <f t="shared" si="835"/>
        <v>-4</v>
      </c>
      <c r="AI414" s="205">
        <f t="shared" si="835"/>
        <v>-3</v>
      </c>
      <c r="AJ414" s="205">
        <f t="shared" si="835"/>
        <v>-7</v>
      </c>
      <c r="AK414" s="996">
        <f t="shared" si="835"/>
        <v>-19</v>
      </c>
      <c r="AL414" s="205">
        <f t="shared" si="835"/>
        <v>-5</v>
      </c>
      <c r="AM414" s="205">
        <f t="shared" si="835"/>
        <v>-1</v>
      </c>
      <c r="AN414" s="205">
        <f t="shared" si="835"/>
        <v>-6</v>
      </c>
      <c r="AO414" s="205">
        <f t="shared" si="835"/>
        <v>-7</v>
      </c>
      <c r="AP414" s="996">
        <f t="shared" si="835"/>
        <v>-19</v>
      </c>
      <c r="AQ414" s="205">
        <f t="shared" si="835"/>
        <v>-5</v>
      </c>
      <c r="AR414" s="205">
        <f t="shared" si="835"/>
        <v>-7</v>
      </c>
      <c r="AS414" s="205">
        <f t="shared" si="835"/>
        <v>-5</v>
      </c>
      <c r="AT414" s="205">
        <f t="shared" si="835"/>
        <v>-10</v>
      </c>
      <c r="AU414" s="996">
        <f t="shared" si="835"/>
        <v>-27</v>
      </c>
      <c r="AV414" s="205">
        <f t="shared" si="835"/>
        <v>-7</v>
      </c>
      <c r="AW414" s="205">
        <f t="shared" si="836" ref="AW414:BB414">+AW363+AW366+AW367</f>
        <v>-4</v>
      </c>
      <c r="AX414" s="205">
        <f t="shared" si="836"/>
        <v>-4</v>
      </c>
      <c r="AY414" s="205">
        <f t="shared" si="836"/>
        <v>-5</v>
      </c>
      <c r="AZ414" s="996">
        <f t="shared" si="836"/>
        <v>-20</v>
      </c>
      <c r="BA414" s="205">
        <f t="shared" si="836"/>
        <v>-7</v>
      </c>
      <c r="BB414" s="205">
        <f t="shared" si="836"/>
        <v>-1</v>
      </c>
      <c r="BC414" s="205">
        <f t="shared" si="837" ref="BC414:BH414">+BC363+BC366+BC367</f>
        <v>-3</v>
      </c>
      <c r="BD414" s="205">
        <f t="shared" si="837"/>
        <v>-12</v>
      </c>
      <c r="BE414" s="996">
        <f t="shared" si="837"/>
        <v>-22</v>
      </c>
      <c r="BF414" s="205">
        <f t="shared" si="837"/>
        <v>-8</v>
      </c>
      <c r="BG414" s="205">
        <f t="shared" si="837"/>
        <v>-5</v>
      </c>
      <c r="BH414" s="658">
        <f t="shared" si="837"/>
        <v>-10</v>
      </c>
      <c r="BI414" s="927">
        <v>0</v>
      </c>
      <c r="BJ414" s="996">
        <f>SUM(BF414,BG414,BH414,BI414)</f>
        <v>-23</v>
      </c>
      <c r="BK414" s="927">
        <v>0</v>
      </c>
      <c r="BL414" s="927">
        <v>0</v>
      </c>
      <c r="BM414" s="927">
        <v>0</v>
      </c>
      <c r="BN414" s="927">
        <v>0</v>
      </c>
      <c r="BO414" s="996">
        <f>SUM(BK414,BL414,BM414,BN414)</f>
        <v>0</v>
      </c>
      <c r="BP414" s="1033">
        <v>0</v>
      </c>
      <c r="BQ414" s="1033">
        <v>0</v>
      </c>
      <c r="BR414" s="1033">
        <v>0</v>
      </c>
      <c r="BS414" s="833"/>
    </row>
    <row r="415" spans="1:71" s="181" customFormat="1" ht="15">
      <c r="A415" s="63" t="s">
        <v>527</v>
      </c>
      <c r="B415" s="481"/>
      <c r="C415" s="1044">
        <f t="shared" si="838" ref="C415:AM415">C412-SUM(C413:C414)</f>
        <v>3600</v>
      </c>
      <c r="D415" s="1044">
        <f t="shared" si="838"/>
        <v>3043</v>
      </c>
      <c r="E415" s="1044">
        <f t="shared" si="838"/>
        <v>1390</v>
      </c>
      <c r="F415" s="1044">
        <f t="shared" si="838"/>
        <v>2441</v>
      </c>
      <c r="G415" s="1044">
        <f t="shared" si="838"/>
        <v>3567</v>
      </c>
      <c r="H415" s="91">
        <f t="shared" si="838"/>
        <v>1052</v>
      </c>
      <c r="I415" s="91">
        <f t="shared" si="838"/>
        <v>673</v>
      </c>
      <c r="J415" s="91">
        <f t="shared" si="838"/>
        <v>893</v>
      </c>
      <c r="K415" s="91">
        <f t="shared" si="838"/>
        <v>1023</v>
      </c>
      <c r="L415" s="1044">
        <f t="shared" si="838"/>
        <v>3641</v>
      </c>
      <c r="M415" s="91">
        <f t="shared" si="838"/>
        <v>827</v>
      </c>
      <c r="N415" s="91">
        <f t="shared" si="838"/>
        <v>806</v>
      </c>
      <c r="O415" s="91">
        <f t="shared" si="838"/>
        <v>918</v>
      </c>
      <c r="P415" s="91">
        <f t="shared" si="838"/>
        <v>886</v>
      </c>
      <c r="Q415" s="1044">
        <f t="shared" si="838"/>
        <v>3437</v>
      </c>
      <c r="R415" s="91">
        <f t="shared" si="838"/>
        <v>698</v>
      </c>
      <c r="S415" s="91">
        <f t="shared" si="838"/>
        <v>649</v>
      </c>
      <c r="T415" s="91">
        <f t="shared" si="838"/>
        <v>701</v>
      </c>
      <c r="U415" s="91">
        <f t="shared" si="838"/>
        <v>919</v>
      </c>
      <c r="V415" s="1044">
        <f t="shared" si="838"/>
        <v>2967</v>
      </c>
      <c r="W415" s="91">
        <f t="shared" si="838"/>
        <v>614</v>
      </c>
      <c r="X415" s="91">
        <f t="shared" si="838"/>
        <v>543</v>
      </c>
      <c r="Y415" s="91">
        <f t="shared" si="838"/>
        <v>253</v>
      </c>
      <c r="Z415" s="91">
        <f t="shared" si="838"/>
        <v>633</v>
      </c>
      <c r="AA415" s="1044">
        <f t="shared" si="838"/>
        <v>2043</v>
      </c>
      <c r="AB415" s="91">
        <f t="shared" si="838"/>
        <v>678</v>
      </c>
      <c r="AC415" s="91">
        <f t="shared" si="838"/>
        <v>494</v>
      </c>
      <c r="AD415" s="91">
        <f t="shared" si="838"/>
        <v>687</v>
      </c>
      <c r="AE415" s="91">
        <f t="shared" si="838"/>
        <v>571</v>
      </c>
      <c r="AF415" s="1044">
        <f t="shared" si="838"/>
        <v>2430</v>
      </c>
      <c r="AG415" s="91">
        <f t="shared" si="838"/>
        <v>755</v>
      </c>
      <c r="AH415" s="91">
        <f t="shared" si="838"/>
        <v>537</v>
      </c>
      <c r="AI415" s="91">
        <f t="shared" si="838"/>
        <v>378</v>
      </c>
      <c r="AJ415" s="91">
        <f t="shared" si="838"/>
        <v>867</v>
      </c>
      <c r="AK415" s="1044">
        <f t="shared" si="838"/>
        <v>2537</v>
      </c>
      <c r="AL415" s="91">
        <f t="shared" si="838"/>
        <v>676</v>
      </c>
      <c r="AM415" s="91">
        <f t="shared" si="838"/>
        <v>-50</v>
      </c>
      <c r="AN415" s="91">
        <f>AN412-SUM(AN413:AN414)</f>
        <v>798</v>
      </c>
      <c r="AO415" s="91">
        <f t="shared" si="839" ref="AO415:AP415">AO412-SUM(AO413:AO414)</f>
        <v>1262</v>
      </c>
      <c r="AP415" s="1044">
        <f t="shared" si="839"/>
        <v>2686</v>
      </c>
      <c r="AQ415" s="91">
        <f t="shared" si="840" ref="AQ415">AQ412-SUM(AQ413:AQ414)</f>
        <v>699</v>
      </c>
      <c r="AR415" s="91">
        <f t="shared" si="841" ref="AR415:AW415">AR412-SUM(AR413:AR414)</f>
        <v>879</v>
      </c>
      <c r="AS415" s="91">
        <f t="shared" si="841"/>
        <v>655</v>
      </c>
      <c r="AT415" s="91">
        <f t="shared" si="841"/>
        <v>1289</v>
      </c>
      <c r="AU415" s="1044">
        <f t="shared" si="841"/>
        <v>3522</v>
      </c>
      <c r="AV415" s="91">
        <f t="shared" si="841"/>
        <v>1037</v>
      </c>
      <c r="AW415" s="91">
        <f t="shared" si="841"/>
        <v>625</v>
      </c>
      <c r="AX415" s="91">
        <f t="shared" si="842" ref="AX415:BJ415">AX412-SUM(AX413:AX414)</f>
        <v>526</v>
      </c>
      <c r="AY415" s="91">
        <f t="shared" si="842"/>
        <v>810</v>
      </c>
      <c r="AZ415" s="1044">
        <f t="shared" si="842"/>
        <v>2998</v>
      </c>
      <c r="BA415" s="91">
        <f t="shared" si="843" ref="BA415:BI415">BA412-SUM(BA413:BA414)</f>
        <v>970</v>
      </c>
      <c r="BB415" s="91">
        <f t="shared" si="843"/>
        <v>15</v>
      </c>
      <c r="BC415" s="91">
        <f t="shared" si="843"/>
        <v>454</v>
      </c>
      <c r="BD415" s="91">
        <f t="shared" si="843"/>
        <v>1633</v>
      </c>
      <c r="BE415" s="1044">
        <f t="shared" si="843"/>
        <v>3072</v>
      </c>
      <c r="BF415" s="91">
        <f>BF412-SUM(BF413:BF414)</f>
        <v>1096</v>
      </c>
      <c r="BG415" s="91">
        <f>BG412-SUM(BG413:BG414)</f>
        <v>585</v>
      </c>
      <c r="BH415" s="804">
        <f>BH412-SUM(BH413:BH414)</f>
        <v>1218</v>
      </c>
      <c r="BI415" s="334">
        <f t="shared" si="843"/>
        <v>1429.0030970300686</v>
      </c>
      <c r="BJ415" s="1045">
        <f t="shared" si="842"/>
        <v>4328.0030970300613</v>
      </c>
      <c r="BK415" s="334">
        <f t="shared" si="844" ref="BK415:BR415">BK412-SUM(BK413:BK414)</f>
        <v>1281.412677222412</v>
      </c>
      <c r="BL415" s="334">
        <f t="shared" si="844"/>
        <v>863.74699517122963</v>
      </c>
      <c r="BM415" s="334">
        <f t="shared" si="844"/>
        <v>1058.5874870455723</v>
      </c>
      <c r="BN415" s="334">
        <f t="shared" si="844"/>
        <v>1501.3357756470418</v>
      </c>
      <c r="BO415" s="1045">
        <f t="shared" si="844"/>
        <v>4705.0829350862423</v>
      </c>
      <c r="BP415" s="1045">
        <f t="shared" si="844"/>
        <v>5171.4451105356811</v>
      </c>
      <c r="BQ415" s="1045">
        <f t="shared" si="844"/>
        <v>5565.2033276620832</v>
      </c>
      <c r="BR415" s="1045">
        <f t="shared" si="844"/>
        <v>5068.3457754215715</v>
      </c>
      <c r="BS415" s="423"/>
    </row>
    <row r="416" spans="1:71" s="29" customFormat="1" ht="15">
      <c r="A416" s="493"/>
      <c r="B416" s="494"/>
      <c r="C416" s="1060"/>
      <c r="D416" s="1060"/>
      <c r="E416" s="1060"/>
      <c r="F416" s="1060"/>
      <c r="G416" s="1060"/>
      <c r="H416" s="868"/>
      <c r="I416" s="868"/>
      <c r="J416" s="868"/>
      <c r="K416" s="868"/>
      <c r="L416" s="1060"/>
      <c r="M416" s="868"/>
      <c r="N416" s="868"/>
      <c r="O416" s="868"/>
      <c r="P416" s="868"/>
      <c r="Q416" s="1060"/>
      <c r="R416" s="868"/>
      <c r="S416" s="868"/>
      <c r="T416" s="868"/>
      <c r="U416" s="868"/>
      <c r="V416" s="1060"/>
      <c r="W416" s="868"/>
      <c r="X416" s="868"/>
      <c r="Y416" s="868"/>
      <c r="Z416" s="868"/>
      <c r="AA416" s="1060"/>
      <c r="AB416" s="868"/>
      <c r="AC416" s="868"/>
      <c r="AD416" s="868"/>
      <c r="AE416" s="868"/>
      <c r="AF416" s="1060"/>
      <c r="AG416" s="868"/>
      <c r="AH416" s="868"/>
      <c r="AI416" s="868"/>
      <c r="AJ416" s="868"/>
      <c r="AK416" s="1060"/>
      <c r="AL416" s="868"/>
      <c r="AM416" s="868"/>
      <c r="AN416" s="868"/>
      <c r="AO416" s="868"/>
      <c r="AP416" s="1060"/>
      <c r="AQ416" s="868"/>
      <c r="AR416" s="868"/>
      <c r="AS416" s="868"/>
      <c r="AT416" s="868"/>
      <c r="AU416" s="1060"/>
      <c r="AV416" s="868"/>
      <c r="AW416" s="868"/>
      <c r="AX416" s="868"/>
      <c r="AY416" s="868"/>
      <c r="AZ416" s="1060"/>
      <c r="BA416" s="868"/>
      <c r="BB416" s="868"/>
      <c r="BC416" s="868"/>
      <c r="BD416" s="868"/>
      <c r="BE416" s="1060"/>
      <c r="BF416" s="868"/>
      <c r="BG416" s="868"/>
      <c r="BH416" s="869"/>
      <c r="BI416" s="868"/>
      <c r="BJ416" s="1060"/>
      <c r="BK416" s="868"/>
      <c r="BL416" s="868"/>
      <c r="BM416" s="868"/>
      <c r="BN416" s="868"/>
      <c r="BO416" s="1060"/>
      <c r="BP416" s="1060"/>
      <c r="BQ416" s="1060"/>
      <c r="BR416" s="1060"/>
      <c r="BS416" s="42"/>
    </row>
    <row r="417" spans="1:71" s="28" customFormat="1" ht="15">
      <c r="A417" s="43" t="s">
        <v>155</v>
      </c>
      <c r="B417" s="459"/>
      <c r="C417" s="1021">
        <f t="shared" si="845" ref="C417:AM417">C403/C400</f>
        <v>0.18594778178730631</v>
      </c>
      <c r="D417" s="1021">
        <f t="shared" si="845"/>
        <v>0.21179749187180677</v>
      </c>
      <c r="E417" s="1021">
        <f t="shared" si="845"/>
        <v>-0.10133136094674557</v>
      </c>
      <c r="F417" s="1021">
        <f t="shared" si="845"/>
        <v>0.14845230574857865</v>
      </c>
      <c r="G417" s="1021">
        <f t="shared" si="845"/>
        <v>0.22345803842264914</v>
      </c>
      <c r="H417" s="43">
        <f t="shared" si="845"/>
        <v>0.18027210884353742</v>
      </c>
      <c r="I417" s="43">
        <f t="shared" si="845"/>
        <v>0.26637069922308548</v>
      </c>
      <c r="J417" s="43">
        <f t="shared" si="845"/>
        <v>0.29968203497615264</v>
      </c>
      <c r="K417" s="43">
        <f t="shared" si="845"/>
        <v>0.26986301369863014</v>
      </c>
      <c r="L417" s="1021">
        <f t="shared" si="845"/>
        <v>0.25073688347415996</v>
      </c>
      <c r="M417" s="43">
        <f t="shared" si="845"/>
        <v>0.15853658536585366</v>
      </c>
      <c r="N417" s="43">
        <f t="shared" si="845"/>
        <v>0.23698884758364314</v>
      </c>
      <c r="O417" s="43">
        <f t="shared" si="845"/>
        <v>0.31828615149196632</v>
      </c>
      <c r="P417" s="43">
        <f t="shared" si="845"/>
        <v>0.27377998345740279</v>
      </c>
      <c r="Q417" s="1021">
        <f t="shared" si="845"/>
        <v>0.24978902953586499</v>
      </c>
      <c r="R417" s="43">
        <f t="shared" si="845"/>
        <v>0.13195201744820065</v>
      </c>
      <c r="S417" s="43">
        <f t="shared" si="845"/>
        <v>0.28523111612175872</v>
      </c>
      <c r="T417" s="43">
        <f t="shared" si="845"/>
        <v>0.29250263991552272</v>
      </c>
      <c r="U417" s="43">
        <f t="shared" si="845"/>
        <v>0.21351766513056836</v>
      </c>
      <c r="V417" s="1021">
        <f t="shared" si="845"/>
        <v>0.22921292869479398</v>
      </c>
      <c r="W417" s="43">
        <f t="shared" si="845"/>
        <v>-0.010526315789473684</v>
      </c>
      <c r="X417" s="43">
        <f t="shared" si="845"/>
        <v>0.30379746835443039</v>
      </c>
      <c r="Y417" s="43">
        <f t="shared" si="845"/>
        <v>0.140625</v>
      </c>
      <c r="Z417" s="43">
        <f t="shared" si="845"/>
        <v>0.069767441860465115</v>
      </c>
      <c r="AA417" s="1021">
        <f t="shared" si="845"/>
        <v>0.12344322344322345</v>
      </c>
      <c r="AB417" s="43">
        <f t="shared" si="845"/>
        <v>0.2120822622107969</v>
      </c>
      <c r="AC417" s="43">
        <f t="shared" si="845"/>
        <v>0.19175911251980982</v>
      </c>
      <c r="AD417" s="43">
        <f t="shared" si="845"/>
        <v>0.086848635235732011</v>
      </c>
      <c r="AE417" s="43">
        <f t="shared" si="845"/>
        <v>0.12734584450402145</v>
      </c>
      <c r="AF417" s="1021">
        <f t="shared" si="845"/>
        <v>0.15231340763255657</v>
      </c>
      <c r="AG417" s="43">
        <f t="shared" si="845"/>
        <v>0.1437435367114788</v>
      </c>
      <c r="AH417" s="43">
        <f t="shared" si="845"/>
        <v>0.19548872180451127</v>
      </c>
      <c r="AI417" s="43">
        <f t="shared" si="845"/>
        <v>0.12962962962962962</v>
      </c>
      <c r="AJ417" s="43">
        <f t="shared" si="845"/>
        <v>0.20856610800744879</v>
      </c>
      <c r="AK417" s="1021">
        <f t="shared" si="845"/>
        <v>0.17495219885277247</v>
      </c>
      <c r="AL417" s="43">
        <f t="shared" si="845"/>
        <v>0.15833333333333333</v>
      </c>
      <c r="AM417" s="43">
        <f t="shared" si="845"/>
        <v>-0.37647058823529411</v>
      </c>
      <c r="AN417" s="43">
        <f>AN403/AN400</f>
        <v>0.15720081135902636</v>
      </c>
      <c r="AO417" s="43">
        <f t="shared" si="846" ref="AO417:AQ417">AO403/AO400</f>
        <v>0.16584158415841585</v>
      </c>
      <c r="AP417" s="1021">
        <f t="shared" si="846"/>
        <v>0.17578004324992277</v>
      </c>
      <c r="AQ417" s="43">
        <f t="shared" si="846"/>
        <v>0.11447811447811448</v>
      </c>
      <c r="AR417" s="43">
        <f t="shared" si="847" ref="AR417:AW417">AR403/AR400</f>
        <v>0.17329796640141468</v>
      </c>
      <c r="AS417" s="43">
        <f t="shared" si="847"/>
        <v>0.15267175572519084</v>
      </c>
      <c r="AT417" s="43">
        <f t="shared" si="847"/>
        <v>0.19151515151515153</v>
      </c>
      <c r="AU417" s="1021">
        <f t="shared" si="847"/>
        <v>0.16464782413638404</v>
      </c>
      <c r="AV417" s="43">
        <f t="shared" si="847"/>
        <v>0.10490693739424704</v>
      </c>
      <c r="AW417" s="43">
        <f t="shared" si="847"/>
        <v>0.26484018264840181</v>
      </c>
      <c r="AX417" s="43">
        <f t="shared" si="848" ref="AX417:BC417">AX403/AX400</f>
        <v>0.33333333333333331</v>
      </c>
      <c r="AY417" s="43">
        <f t="shared" si="848"/>
        <v>0.22695035460992907</v>
      </c>
      <c r="AZ417" s="1021">
        <f t="shared" si="848"/>
        <v>0.20810971973762671</v>
      </c>
      <c r="BA417" s="43">
        <f t="shared" si="848"/>
        <v>-0.085129310344827583</v>
      </c>
      <c r="BB417" s="43">
        <f t="shared" si="848"/>
        <v>-1.2916666666666667</v>
      </c>
      <c r="BC417" s="43">
        <f t="shared" si="848"/>
        <v>0.23516949152542374</v>
      </c>
      <c r="BD417" s="43">
        <f>BD403/BD400</f>
        <v>0.22238732045567111</v>
      </c>
      <c r="BE417" s="1021">
        <f>BE403/BE400</f>
        <v>0.1610797982794423</v>
      </c>
      <c r="BF417" s="43">
        <f>BF403/BF400</f>
        <v>0.14963503649635038</v>
      </c>
      <c r="BG417" s="43">
        <f>BG403/BG400</f>
        <v>0.31554878048780488</v>
      </c>
      <c r="BH417" s="758">
        <f>BH403/BH400</f>
        <v>0.23012820512820512</v>
      </c>
      <c r="BI417" s="949">
        <v>0.12</v>
      </c>
      <c r="BJ417" s="1018">
        <f>BJ403/BJ400</f>
        <v>0.18533337305141478</v>
      </c>
      <c r="BK417" s="949">
        <v>0.12</v>
      </c>
      <c r="BL417" s="949">
        <v>0.12</v>
      </c>
      <c r="BM417" s="949">
        <v>0.17</v>
      </c>
      <c r="BN417" s="949">
        <v>0.11</v>
      </c>
      <c r="BO417" s="1018">
        <f>BO403/BO400</f>
        <v>0.12870425870268251</v>
      </c>
      <c r="BP417" s="1061">
        <v>0.12</v>
      </c>
      <c r="BQ417" s="1061">
        <v>0.18500000000000028</v>
      </c>
      <c r="BR417" s="1061">
        <v>0.18500000000000028</v>
      </c>
      <c r="BS417" s="43"/>
    </row>
    <row r="418" spans="1:71" s="28" customFormat="1" ht="15">
      <c r="A418" s="43" t="s">
        <v>156</v>
      </c>
      <c r="B418" s="459"/>
      <c r="C418" s="1021">
        <f t="shared" si="849" ref="C418:AM418">C404/C400</f>
        <v>0.045213330503077902</v>
      </c>
      <c r="D418" s="1021">
        <f t="shared" si="849"/>
        <v>0.041337668369716675</v>
      </c>
      <c r="E418" s="1021">
        <f t="shared" si="849"/>
        <v>0.046597633136094677</v>
      </c>
      <c r="F418" s="1021">
        <f t="shared" si="849"/>
        <v>0.070435881238155404</v>
      </c>
      <c r="G418" s="1021">
        <f t="shared" si="849"/>
        <v>0.033771486349848334</v>
      </c>
      <c r="H418" s="43">
        <f t="shared" si="849"/>
        <v>0.10408163265306122</v>
      </c>
      <c r="I418" s="43">
        <f t="shared" si="849"/>
        <v>-0.024417314095449501</v>
      </c>
      <c r="J418" s="43">
        <f t="shared" si="849"/>
        <v>-0.030206677265500796</v>
      </c>
      <c r="K418" s="43">
        <f t="shared" si="849"/>
        <v>0.019178082191780823</v>
      </c>
      <c r="L418" s="1021">
        <f t="shared" si="849"/>
        <v>0.023776773432894478</v>
      </c>
      <c r="M418" s="43">
        <f t="shared" si="849"/>
        <v>0.11585365853658537</v>
      </c>
      <c r="N418" s="43">
        <f t="shared" si="849"/>
        <v>0.0083643122676579917</v>
      </c>
      <c r="O418" s="43">
        <f t="shared" si="849"/>
        <v>-0.028309104820198928</v>
      </c>
      <c r="P418" s="43">
        <f t="shared" si="849"/>
        <v>0.0099255583126550868</v>
      </c>
      <c r="Q418" s="1021">
        <f t="shared" si="849"/>
        <v>0.024683544303797468</v>
      </c>
      <c r="R418" s="43">
        <f t="shared" si="849"/>
        <v>0.11450381679389313</v>
      </c>
      <c r="S418" s="43">
        <f t="shared" si="849"/>
        <v>-0.033821871476888386</v>
      </c>
      <c r="T418" s="43">
        <f t="shared" si="849"/>
        <v>-0.048574445617740235</v>
      </c>
      <c r="U418" s="43">
        <f t="shared" si="849"/>
        <v>0.062211981566820278</v>
      </c>
      <c r="V418" s="1021">
        <f t="shared" si="849"/>
        <v>0.027140389834690352</v>
      </c>
      <c r="W418" s="43">
        <f t="shared" si="849"/>
        <v>0.1986842105263158</v>
      </c>
      <c r="X418" s="43">
        <f t="shared" si="849"/>
        <v>-0.056962025316455694</v>
      </c>
      <c r="Y418" s="43">
        <f t="shared" si="849"/>
        <v>-0.05625</v>
      </c>
      <c r="Z418" s="43">
        <f t="shared" si="849"/>
        <v>0.28953488372093023</v>
      </c>
      <c r="AA418" s="1021">
        <f t="shared" si="849"/>
        <v>0.12344322344322345</v>
      </c>
      <c r="AB418" s="43">
        <f t="shared" si="849"/>
        <v>-0.071979434447300775</v>
      </c>
      <c r="AC418" s="43">
        <f t="shared" si="849"/>
        <v>-0.022187004754358162</v>
      </c>
      <c r="AD418" s="43">
        <f t="shared" si="849"/>
        <v>0.033498759305210915</v>
      </c>
      <c r="AE418" s="43">
        <f t="shared" si="849"/>
        <v>0.040214477211796246</v>
      </c>
      <c r="AF418" s="1021">
        <f t="shared" si="849"/>
        <v>-0.0043904086457277943</v>
      </c>
      <c r="AG418" s="43">
        <f t="shared" si="849"/>
        <v>0.033092037228541885</v>
      </c>
      <c r="AH418" s="43">
        <f t="shared" si="849"/>
        <v>-0.03308270676691729</v>
      </c>
      <c r="AI418" s="43">
        <f t="shared" si="849"/>
        <v>-0.046296296296296294</v>
      </c>
      <c r="AJ418" s="43">
        <f t="shared" si="849"/>
        <v>-0.021415270018621976</v>
      </c>
      <c r="AK418" s="1021">
        <f t="shared" si="849"/>
        <v>-0.010516252390057362</v>
      </c>
      <c r="AL418" s="43">
        <f t="shared" si="849"/>
        <v>0.0083333333333333332</v>
      </c>
      <c r="AM418" s="43">
        <f t="shared" si="849"/>
        <v>0.90588235294117647</v>
      </c>
      <c r="AN418" s="43">
        <f>AN404/AN400</f>
        <v>0.0040567951318458417</v>
      </c>
      <c r="AO418" s="43">
        <f>AO404/AO400</f>
        <v>0.023514851485148515</v>
      </c>
      <c r="AP418" s="1021">
        <f>AP404/AP400</f>
        <v>-0.0089589125733704044</v>
      </c>
      <c r="AQ418" s="43">
        <f t="shared" si="850" ref="AQ418">AQ404/AQ400</f>
        <v>0.062850729517396189</v>
      </c>
      <c r="AR418" s="43">
        <f t="shared" si="851" ref="AR418:AW418">AR404/AR400</f>
        <v>0.00088417329796640137</v>
      </c>
      <c r="AS418" s="43">
        <f t="shared" si="851"/>
        <v>0.0050890585241730284</v>
      </c>
      <c r="AT418" s="43">
        <f t="shared" si="851"/>
        <v>0.00060606060606060606</v>
      </c>
      <c r="AU418" s="1021">
        <f t="shared" si="851"/>
        <v>0.013907581875280395</v>
      </c>
      <c r="AV418" s="43">
        <f t="shared" si="851"/>
        <v>0.033840947546531303</v>
      </c>
      <c r="AW418" s="43">
        <f t="shared" si="851"/>
        <v>-0.1035007610350076</v>
      </c>
      <c r="AX418" s="43">
        <f t="shared" si="852" ref="AX418:BC418">AX404/AX400</f>
        <v>-0.19318181818181818</v>
      </c>
      <c r="AY418" s="43">
        <f t="shared" si="852"/>
        <v>-0.056737588652482268</v>
      </c>
      <c r="AZ418" s="1021">
        <f t="shared" si="852"/>
        <v>-0.055456171735241505</v>
      </c>
      <c r="BA418" s="43">
        <f t="shared" si="852"/>
        <v>0.034482758620689655</v>
      </c>
      <c r="BB418" s="43">
        <f t="shared" si="852"/>
        <v>2</v>
      </c>
      <c r="BC418" s="43">
        <f t="shared" si="852"/>
        <v>-0.09110169491525423</v>
      </c>
      <c r="BD418" s="43">
        <f>BD404/BD400</f>
        <v>-0.027736503219415551</v>
      </c>
      <c r="BE418" s="1021">
        <f>BE404/BE400</f>
        <v>-0.04835360427172946</v>
      </c>
      <c r="BF418" s="43">
        <f>BF404/BF400</f>
        <v>0.030656934306569343</v>
      </c>
      <c r="BG418" s="43">
        <f>BG404/BG400</f>
        <v>-0.12957317073170732</v>
      </c>
      <c r="BH418" s="758">
        <f>BH404/BH400</f>
        <v>-0.037820512820512818</v>
      </c>
      <c r="BI418" s="949">
        <v>-0.01</v>
      </c>
      <c r="BJ418" s="1018">
        <f>BJ404/BJ400</f>
        <v>-0.022683894838618553</v>
      </c>
      <c r="BK418" s="949">
        <v>-0.01</v>
      </c>
      <c r="BL418" s="949">
        <v>-0.01</v>
      </c>
      <c r="BM418" s="949">
        <v>-0.01</v>
      </c>
      <c r="BN418" s="949">
        <v>-0.01</v>
      </c>
      <c r="BO418" s="1018">
        <f>BO404/BO400</f>
        <v>-0.010000000000000024</v>
      </c>
      <c r="BP418" s="1061">
        <v>-0.010000000000000028</v>
      </c>
      <c r="BQ418" s="1061">
        <v>-0.010000000000000028</v>
      </c>
      <c r="BR418" s="1061">
        <v>-0.010000000000000028</v>
      </c>
      <c r="BS418" s="43"/>
    </row>
    <row r="419" spans="1:71" s="24" customFormat="1" ht="15">
      <c r="A419" s="828"/>
      <c r="B419" s="462"/>
      <c r="C419" s="1011"/>
      <c r="D419" s="1011"/>
      <c r="E419" s="1011"/>
      <c r="F419" s="1011"/>
      <c r="G419" s="1011"/>
      <c r="H419" s="857"/>
      <c r="I419" s="857"/>
      <c r="J419" s="857"/>
      <c r="K419" s="857"/>
      <c r="L419" s="1011"/>
      <c r="M419" s="857"/>
      <c r="N419" s="857"/>
      <c r="O419" s="857"/>
      <c r="P419" s="857"/>
      <c r="Q419" s="1011"/>
      <c r="R419" s="857"/>
      <c r="S419" s="857"/>
      <c r="T419" s="857"/>
      <c r="U419" s="857"/>
      <c r="V419" s="1011"/>
      <c r="W419" s="857"/>
      <c r="X419" s="857"/>
      <c r="Y419" s="857"/>
      <c r="Z419" s="857"/>
      <c r="AA419" s="1011"/>
      <c r="AB419" s="857"/>
      <c r="AC419" s="857"/>
      <c r="AD419" s="857"/>
      <c r="AE419" s="857"/>
      <c r="AF419" s="1011"/>
      <c r="AG419" s="857"/>
      <c r="AH419" s="857"/>
      <c r="AI419" s="857"/>
      <c r="AJ419" s="857"/>
      <c r="AK419" s="1011"/>
      <c r="AL419" s="857"/>
      <c r="AM419" s="857"/>
      <c r="AN419" s="857"/>
      <c r="AO419" s="857"/>
      <c r="AP419" s="1011"/>
      <c r="AQ419" s="857"/>
      <c r="AR419" s="857"/>
      <c r="AS419" s="857"/>
      <c r="AT419" s="857"/>
      <c r="AU419" s="1011"/>
      <c r="AV419" s="857"/>
      <c r="AW419" s="857"/>
      <c r="AX419" s="857"/>
      <c r="AY419" s="857"/>
      <c r="AZ419" s="1011"/>
      <c r="BA419" s="857"/>
      <c r="BB419" s="857"/>
      <c r="BC419" s="857"/>
      <c r="BD419" s="857"/>
      <c r="BE419" s="1011"/>
      <c r="BF419" s="857"/>
      <c r="BG419" s="857"/>
      <c r="BH419" s="858"/>
      <c r="BI419" s="857"/>
      <c r="BJ419" s="1011"/>
      <c r="BK419" s="857"/>
      <c r="BL419" s="857"/>
      <c r="BM419" s="857"/>
      <c r="BN419" s="857"/>
      <c r="BO419" s="1011"/>
      <c r="BP419" s="1011"/>
      <c r="BQ419" s="1011"/>
      <c r="BR419" s="1011"/>
      <c r="BS419" s="833"/>
    </row>
    <row r="420" spans="1:71" s="30" customFormat="1" ht="15">
      <c r="A420" s="133" t="s">
        <v>157</v>
      </c>
      <c r="B420" s="217"/>
      <c r="C420" s="1062">
        <f t="shared" si="853" ref="C420:R420">C$410/C425</f>
        <v>6.3796164772727266</v>
      </c>
      <c r="D420" s="1062">
        <f t="shared" si="853"/>
        <v>6.6904512067156352</v>
      </c>
      <c r="E420" s="1062">
        <f t="shared" si="853"/>
        <v>3.4006734006734005</v>
      </c>
      <c r="F420" s="1062">
        <f t="shared" si="853"/>
        <v>6.3542206110823409</v>
      </c>
      <c r="G420" s="1062">
        <f t="shared" si="853"/>
        <v>9.8460707534431542</v>
      </c>
      <c r="H420" s="220">
        <f t="shared" si="853"/>
        <v>2.9780564263322886</v>
      </c>
      <c r="I420" s="220">
        <f t="shared" si="853"/>
        <v>1.9766763848396502</v>
      </c>
      <c r="J420" s="220">
        <f t="shared" si="853"/>
        <v>2.7215756490599818</v>
      </c>
      <c r="K420" s="220">
        <f t="shared" si="853"/>
        <v>3.1517747858017136</v>
      </c>
      <c r="L420" s="1062">
        <f t="shared" si="853"/>
        <v>10.81759149940968</v>
      </c>
      <c r="M420" s="220">
        <f t="shared" si="853"/>
        <v>2.577930174563591</v>
      </c>
      <c r="N420" s="220">
        <f t="shared" si="853"/>
        <v>2.5603557814485387</v>
      </c>
      <c r="O420" s="220">
        <f t="shared" si="853"/>
        <v>2.9973992197659296</v>
      </c>
      <c r="P420" s="220">
        <f t="shared" si="853"/>
        <v>2.8661995328661996</v>
      </c>
      <c r="Q420" s="1062">
        <f t="shared" si="853"/>
        <v>10.991629104958145</v>
      </c>
      <c r="R420" s="220">
        <f t="shared" si="853"/>
        <v>2.3317471108089736</v>
      </c>
      <c r="S420" s="220">
        <f>S410/S425</f>
        <v>2.2716304722509477</v>
      </c>
      <c r="T420" s="220">
        <f>T$410/T425</f>
        <v>2.4825174825174825</v>
      </c>
      <c r="U420" s="220">
        <f>U$410/U425</f>
        <v>3.3215171924849343</v>
      </c>
      <c r="V420" s="1062">
        <f>V$410/V425</f>
        <v>10.385282887886151</v>
      </c>
      <c r="W420" s="220">
        <f>W$410/W425</f>
        <v>2.1916338934572757</v>
      </c>
      <c r="X420" s="220">
        <f>X410/X425</f>
        <v>2.1261261261261262</v>
      </c>
      <c r="Y420" s="220">
        <f>Y$410/Y425</f>
        <v>1.0616563298066399</v>
      </c>
      <c r="Z420" s="220">
        <f>Z410/Z425</f>
        <v>2.0051319648093839</v>
      </c>
      <c r="AA420" s="1062">
        <f>AA410/AA425</f>
        <v>7.3949275362318838</v>
      </c>
      <c r="AB420" s="220">
        <f>AB$410/AB425</f>
        <v>2.4501845018450186</v>
      </c>
      <c r="AC420" s="220">
        <f>AC410/AC425</f>
        <v>1.9352437662820992</v>
      </c>
      <c r="AD420" s="220">
        <f>AD$410/AD425</f>
        <v>2.6456219466366027</v>
      </c>
      <c r="AE420" s="220">
        <f>AE410/AE425</f>
        <v>2.3342175066312998</v>
      </c>
      <c r="AF420" s="1062">
        <f>AF410/AF425</f>
        <v>9.364248317127899</v>
      </c>
      <c r="AG420" s="220">
        <f t="shared" si="854" ref="AG420">AG410/AG425</f>
        <v>3.0087485736021304</v>
      </c>
      <c r="AH420" s="220">
        <f>AH410/AH425</f>
        <v>2.1163413700727132</v>
      </c>
      <c r="AI420" s="220">
        <f t="shared" si="855" ref="AI420">AI410/AI425</f>
        <v>1.5162037037037037</v>
      </c>
      <c r="AJ420" s="220">
        <f>AJ410/AJ425</f>
        <v>3.3722741433021803</v>
      </c>
      <c r="AK420" s="1062">
        <f>AK410/AK425</f>
        <v>10.011538461538462</v>
      </c>
      <c r="AL420" s="220">
        <f t="shared" si="856" ref="AL420">AL410/AL425</f>
        <v>2.3388364779874213</v>
      </c>
      <c r="AM420" s="220">
        <f t="shared" si="857" ref="AM420">AM410/AM425</f>
        <v>-0.16295707472178061</v>
      </c>
      <c r="AN420" s="220">
        <f t="shared" si="858" ref="AN420">AN410/AN425</f>
        <v>3.2412159494670352</v>
      </c>
      <c r="AO420" s="220">
        <f>AO410/AO425</f>
        <v>5.1420678768745063</v>
      </c>
      <c r="AP420" s="1062">
        <f>AP410/AP425</f>
        <v>10.564102564102564</v>
      </c>
      <c r="AQ420" s="220">
        <f t="shared" si="859" ref="AQ420">AQ410/AQ425</f>
        <v>2.8877429591431971</v>
      </c>
      <c r="AR420" s="220">
        <f t="shared" si="860" ref="AR420:AW420">AR410/AR425</f>
        <v>3.6976465895492621</v>
      </c>
      <c r="AS420" s="220">
        <f t="shared" si="860"/>
        <v>2.6524020993136861</v>
      </c>
      <c r="AT420" s="220">
        <f t="shared" si="860"/>
        <v>5.4265791632485643</v>
      </c>
      <c r="AU420" s="1062">
        <f t="shared" si="860"/>
        <v>14.627766599597585</v>
      </c>
      <c r="AV420" s="220">
        <f t="shared" si="860"/>
        <v>4.1967621419676213</v>
      </c>
      <c r="AW420" s="220">
        <f t="shared" si="860"/>
        <v>2.2944630872483223</v>
      </c>
      <c r="AX420" s="220">
        <f t="shared" si="861" ref="AX420:BJ420">AX410/AX425</f>
        <v>1.9116397621070518</v>
      </c>
      <c r="AY420" s="220">
        <f t="shared" si="861"/>
        <v>3.4905660377358494</v>
      </c>
      <c r="AZ420" s="1062">
        <f t="shared" si="861"/>
        <v>11.907172995780591</v>
      </c>
      <c r="BA420" s="220">
        <f t="shared" si="862" ref="BA420:BI420">BA410/BA425</f>
        <v>4.1778161415623654</v>
      </c>
      <c r="BB420" s="220">
        <f t="shared" si="862"/>
        <v>-0.065302568567697006</v>
      </c>
      <c r="BC420" s="220">
        <f t="shared" si="862"/>
        <v>1.7526223776223775</v>
      </c>
      <c r="BD420" s="220">
        <f t="shared" si="862"/>
        <v>7.0665499124343256</v>
      </c>
      <c r="BE420" s="1062">
        <f t="shared" si="862"/>
        <v>12.925555071832827</v>
      </c>
      <c r="BF420" s="220">
        <f>BF410/BF425</f>
        <v>4.8689956331877733</v>
      </c>
      <c r="BG420" s="220">
        <f>BG410/BG425</f>
        <v>2.3140857392825898</v>
      </c>
      <c r="BH420" s="846">
        <f>BH410/BH425</f>
        <v>5.4969217238346522</v>
      </c>
      <c r="BI420" s="218">
        <f t="shared" ca="1" si="862"/>
        <v>6.3539784010135181</v>
      </c>
      <c r="BJ420" s="1063">
        <f t="shared" ca="1" si="861"/>
        <v>19.019457202623514</v>
      </c>
      <c r="BK420" s="218">
        <f ca="1" t="shared" si="863" ref="BK420:BR420">BK410/BK425</f>
        <v>5.7038003401868362</v>
      </c>
      <c r="BL420" s="218">
        <f t="shared" ca="1" si="863"/>
        <v>3.8638634148512319</v>
      </c>
      <c r="BM420" s="218">
        <f t="shared" ca="1" si="863"/>
        <v>4.7188876081302737</v>
      </c>
      <c r="BN420" s="218">
        <f t="shared" ca="1" si="863"/>
        <v>6.673285355273312</v>
      </c>
      <c r="BO420" s="1063">
        <f t="shared" ca="1" si="863"/>
        <v>20.959836718441597</v>
      </c>
      <c r="BP420" s="1063">
        <f t="shared" ca="1" si="863"/>
        <v>23.016938812932516</v>
      </c>
      <c r="BQ420" s="1063">
        <f t="shared" ca="1" si="863"/>
        <v>24.734375892784506</v>
      </c>
      <c r="BR420" s="1063">
        <f t="shared" ca="1" si="863"/>
        <v>22.545576103178728</v>
      </c>
      <c r="BS420" s="220"/>
    </row>
    <row r="421" spans="1:71" s="30" customFormat="1" ht="15">
      <c r="A421" s="133" t="s">
        <v>158</v>
      </c>
      <c r="B421" s="217"/>
      <c r="C421" s="1062">
        <f t="shared" si="864" ref="C421:AM421">C412/C426</f>
        <v>6.3295814280689413</v>
      </c>
      <c r="D421" s="1062">
        <f t="shared" si="864"/>
        <v>6.6176165803108811</v>
      </c>
      <c r="E421" s="1062">
        <f t="shared" si="864"/>
        <v>3.3650416171224733</v>
      </c>
      <c r="F421" s="1062">
        <f t="shared" si="864"/>
        <v>6.2955361723961003</v>
      </c>
      <c r="G421" s="1062">
        <f t="shared" si="864"/>
        <v>9.7408495858936686</v>
      </c>
      <c r="H421" s="220">
        <f t="shared" si="864"/>
        <v>2.9469825155104341</v>
      </c>
      <c r="I421" s="220">
        <f t="shared" si="864"/>
        <v>1.9555811941159504</v>
      </c>
      <c r="J421" s="220">
        <f t="shared" si="864"/>
        <v>2.6910593095308353</v>
      </c>
      <c r="K421" s="220">
        <f t="shared" si="864"/>
        <v>3.1117824773413898</v>
      </c>
      <c r="L421" s="1062">
        <f t="shared" si="864"/>
        <v>10.700729927007298</v>
      </c>
      <c r="M421" s="220">
        <f t="shared" si="864"/>
        <v>2.5485362095531587</v>
      </c>
      <c r="N421" s="220">
        <f t="shared" si="864"/>
        <v>2.5345911949685536</v>
      </c>
      <c r="O421" s="220">
        <f t="shared" si="864"/>
        <v>2.964630225080386</v>
      </c>
      <c r="P421" s="220">
        <f t="shared" si="864"/>
        <v>2.8321793603692713</v>
      </c>
      <c r="Q421" s="1062">
        <f t="shared" si="864"/>
        <v>10.876075183179358</v>
      </c>
      <c r="R421" s="220">
        <f t="shared" si="864"/>
        <v>2.3027861698556564</v>
      </c>
      <c r="S421" s="220">
        <f t="shared" si="864"/>
        <v>2.2445504087193457</v>
      </c>
      <c r="T421" s="220">
        <f t="shared" si="864"/>
        <v>2.449965493443754</v>
      </c>
      <c r="U421" s="220">
        <f t="shared" si="864"/>
        <v>3.2865661171518763</v>
      </c>
      <c r="V421" s="1062">
        <f t="shared" si="864"/>
        <v>10.281786941580757</v>
      </c>
      <c r="W421" s="220">
        <f t="shared" si="864"/>
        <v>2.1706798866855528</v>
      </c>
      <c r="X421" s="220">
        <f t="shared" si="864"/>
        <v>2.1071428571428572</v>
      </c>
      <c r="Y421" s="220">
        <f t="shared" si="864"/>
        <v>1.0520607375271149</v>
      </c>
      <c r="Z421" s="220">
        <f t="shared" si="864"/>
        <v>1.9840406238665216</v>
      </c>
      <c r="AA421" s="1062">
        <f t="shared" si="864"/>
        <v>7.3259152907394105</v>
      </c>
      <c r="AB421" s="220">
        <f t="shared" si="864"/>
        <v>2.4242424242424243</v>
      </c>
      <c r="AC421" s="220">
        <f t="shared" si="864"/>
        <v>1.918111398008115</v>
      </c>
      <c r="AD421" s="220">
        <f t="shared" si="864"/>
        <v>2.6229508196721314</v>
      </c>
      <c r="AE421" s="220">
        <f t="shared" si="864"/>
        <v>2.3157894736842106</v>
      </c>
      <c r="AF421" s="1062">
        <f t="shared" si="864"/>
        <v>9.2809488510007405</v>
      </c>
      <c r="AG421" s="220">
        <f t="shared" si="865" ref="AG421">AG412/AG426</f>
        <v>2.9871601208459215</v>
      </c>
      <c r="AH421" s="220">
        <f t="shared" si="864"/>
        <v>2.0970800151687525</v>
      </c>
      <c r="AI421" s="220">
        <f t="shared" si="866" ref="AI421">AI412/AI426</f>
        <v>1.5011459129106188</v>
      </c>
      <c r="AJ421" s="220">
        <f t="shared" si="864"/>
        <v>3.3436293436293436</v>
      </c>
      <c r="AK421" s="1062">
        <f t="shared" si="864"/>
        <v>9.9237514296606939</v>
      </c>
      <c r="AL421" s="220">
        <f t="shared" si="867" ref="AL421">AL412/AL426</f>
        <v>2.3251270027354436</v>
      </c>
      <c r="AM421" s="220">
        <f t="shared" si="864"/>
        <v>-0.16295707472178061</v>
      </c>
      <c r="AN421" s="220">
        <f t="shared" si="868" ref="AN421">AN412/AN426</f>
        <v>3.2284703106567045</v>
      </c>
      <c r="AO421" s="220">
        <f t="shared" si="869" ref="AO421:AQ421">AO412/AO426</f>
        <v>5.113814756671899</v>
      </c>
      <c r="AP421" s="1062">
        <f t="shared" si="869"/>
        <v>10.518460329929301</v>
      </c>
      <c r="AQ421" s="220">
        <f t="shared" si="869"/>
        <v>2.8650137741046833</v>
      </c>
      <c r="AR421" s="220">
        <f t="shared" si="870" ref="AR421:AW421">AR412/AR426</f>
        <v>3.6625839589095222</v>
      </c>
      <c r="AS421" s="220">
        <f t="shared" si="870"/>
        <v>2.6269492203118752</v>
      </c>
      <c r="AT421" s="220">
        <f t="shared" si="870"/>
        <v>5.3693181818181817</v>
      </c>
      <c r="AU421" s="1062">
        <f t="shared" si="870"/>
        <v>14.493620414673046</v>
      </c>
      <c r="AV421" s="220">
        <f t="shared" si="870"/>
        <v>4.1485432909314737</v>
      </c>
      <c r="AW421" s="220">
        <f t="shared" si="870"/>
        <v>2.2687681459975115</v>
      </c>
      <c r="AX421" s="220">
        <f t="shared" si="871" ref="AX421:BJ421">AX412/AX426</f>
        <v>1.8915510718789408</v>
      </c>
      <c r="AY421" s="220">
        <f t="shared" si="871"/>
        <v>3.4447735928903933</v>
      </c>
      <c r="AZ421" s="1062">
        <f t="shared" si="871"/>
        <v>11.773049645390071</v>
      </c>
      <c r="BA421" s="220">
        <f t="shared" si="872" ref="BA421:BI421">BA412/BA426</f>
        <v>4.1296928327645048</v>
      </c>
      <c r="BB421" s="220">
        <f t="shared" si="872"/>
        <v>-0.065302568567697006</v>
      </c>
      <c r="BC421" s="220">
        <f t="shared" si="872"/>
        <v>1.735179575941151</v>
      </c>
      <c r="BD421" s="220">
        <f t="shared" si="872"/>
        <v>6.9839896148853313</v>
      </c>
      <c r="BE421" s="1062">
        <f t="shared" si="872"/>
        <v>12.786391042204997</v>
      </c>
      <c r="BF421" s="220">
        <f>BF412/BF426</f>
        <v>4.806034482758621</v>
      </c>
      <c r="BG421" s="220">
        <f>BG412/BG426</f>
        <v>2.2850971922246219</v>
      </c>
      <c r="BH421" s="846">
        <f>BH412/BH426</f>
        <v>5.4206418039895929</v>
      </c>
      <c r="BI421" s="218">
        <f t="shared" ca="1" si="872"/>
        <v>6.2783341547002784</v>
      </c>
      <c r="BJ421" s="1063">
        <f t="shared" ca="1" si="871"/>
        <v>18.790989891697937</v>
      </c>
      <c r="BK421" s="218">
        <f ca="1" t="shared" si="873" ref="BK421:BR421">BK412/BK426</f>
        <v>5.6473270694919169</v>
      </c>
      <c r="BL421" s="218">
        <f t="shared" ca="1" si="873"/>
        <v>3.825607341436863</v>
      </c>
      <c r="BM421" s="218">
        <f t="shared" ca="1" si="873"/>
        <v>4.6721659486438352</v>
      </c>
      <c r="BN421" s="218">
        <f t="shared" ca="1" si="873"/>
        <v>6.6072132230428826</v>
      </c>
      <c r="BO421" s="1063">
        <f t="shared" ca="1" si="873"/>
        <v>20.752313582615443</v>
      </c>
      <c r="BP421" s="1063">
        <f t="shared" ca="1" si="873"/>
        <v>22.789048329636152</v>
      </c>
      <c r="BQ421" s="1063">
        <f t="shared" ca="1" si="873"/>
        <v>24.489481081964858</v>
      </c>
      <c r="BR421" s="1063">
        <f t="shared" ca="1" si="873"/>
        <v>22.322352577404683</v>
      </c>
      <c r="BS421" s="220"/>
    </row>
    <row r="422" spans="1:71" s="30" customFormat="1" ht="15">
      <c r="A422" s="133" t="s">
        <v>528</v>
      </c>
      <c r="B422" s="217"/>
      <c r="C422" s="1062">
        <f t="shared" si="874" ref="C422:AI422">(C415+C414)/C427</f>
        <v>6.2908899050298981</v>
      </c>
      <c r="D422" s="1062">
        <f t="shared" si="874"/>
        <v>6.2590673575129534</v>
      </c>
      <c r="E422" s="1062">
        <f t="shared" si="874"/>
        <v>3.2794292508917953</v>
      </c>
      <c r="F422" s="1062">
        <f t="shared" si="874"/>
        <v>6.2134427911749617</v>
      </c>
      <c r="G422" s="1062">
        <f t="shared" si="874"/>
        <v>9.4576542880042744</v>
      </c>
      <c r="H422" s="220">
        <f t="shared" si="874"/>
        <v>2.9469825155104341</v>
      </c>
      <c r="I422" s="220">
        <f t="shared" si="874"/>
        <v>1.9267378136717623</v>
      </c>
      <c r="J422" s="220">
        <f t="shared" si="874"/>
        <v>2.6143405134257893</v>
      </c>
      <c r="K422" s="220">
        <f t="shared" si="874"/>
        <v>3.0664652567975832</v>
      </c>
      <c r="L422" s="1062">
        <f t="shared" si="874"/>
        <v>10.551824817518249</v>
      </c>
      <c r="M422" s="220">
        <f t="shared" si="874"/>
        <v>2.5300462249614792</v>
      </c>
      <c r="N422" s="220">
        <f t="shared" si="874"/>
        <v>2.5157232704402515</v>
      </c>
      <c r="O422" s="220">
        <f t="shared" si="874"/>
        <v>2.932475884244373</v>
      </c>
      <c r="P422" s="220">
        <f t="shared" si="874"/>
        <v>2.8981206726013848</v>
      </c>
      <c r="Q422" s="1062">
        <f t="shared" si="874"/>
        <v>10.869703727301689</v>
      </c>
      <c r="R422" s="220">
        <f t="shared" si="874"/>
        <v>2.3262839879154082</v>
      </c>
      <c r="S422" s="220">
        <f t="shared" si="874"/>
        <v>2.1934604904632149</v>
      </c>
      <c r="T422" s="220">
        <f t="shared" si="874"/>
        <v>2.3982056590752241</v>
      </c>
      <c r="U422" s="220">
        <f t="shared" si="874"/>
        <v>3.202385128025254</v>
      </c>
      <c r="V422" s="1062">
        <f t="shared" si="874"/>
        <v>10.120274914089347</v>
      </c>
      <c r="W422" s="220">
        <f t="shared" si="874"/>
        <v>2.1600566572237963</v>
      </c>
      <c r="X422" s="220">
        <f t="shared" si="874"/>
        <v>1.9214285714285715</v>
      </c>
      <c r="Y422" s="220">
        <f t="shared" si="874"/>
        <v>0.9074475777295733</v>
      </c>
      <c r="Z422" s="220">
        <f t="shared" si="874"/>
        <v>2.2814653608995288</v>
      </c>
      <c r="AA422" s="1062">
        <f t="shared" si="874"/>
        <v>7.2792534099066755</v>
      </c>
      <c r="AB422" s="220">
        <f t="shared" si="874"/>
        <v>2.4571011317999272</v>
      </c>
      <c r="AC422" s="220">
        <f t="shared" si="874"/>
        <v>1.8074511250461083</v>
      </c>
      <c r="AD422" s="220">
        <f t="shared" si="874"/>
        <v>2.5409836065573774</v>
      </c>
      <c r="AE422" s="220">
        <f t="shared" si="874"/>
        <v>2.1278195488721803</v>
      </c>
      <c r="AF422" s="1062">
        <f t="shared" si="874"/>
        <v>8.9362490733876943</v>
      </c>
      <c r="AG422" s="220">
        <f t="shared" si="874"/>
        <v>2.8323262839879151</v>
      </c>
      <c r="AH422" s="220">
        <f t="shared" si="874"/>
        <v>2.0212362533181647</v>
      </c>
      <c r="AI422" s="220">
        <f t="shared" si="874"/>
        <v>1.4323911382734911</v>
      </c>
      <c r="AJ422" s="220">
        <f t="shared" si="875" ref="AJ422:AW422">(AJ415+AJ414)/AJ427</f>
        <v>3.3204633204633205</v>
      </c>
      <c r="AK422" s="1062">
        <f t="shared" si="875"/>
        <v>9.5996950057186421</v>
      </c>
      <c r="AL422" s="220">
        <f t="shared" si="875"/>
        <v>2.6221180148495504</v>
      </c>
      <c r="AM422" s="220">
        <f t="shared" si="875"/>
        <v>-0.20270270270270271</v>
      </c>
      <c r="AN422" s="220">
        <f t="shared" si="875"/>
        <v>3.1144317734958711</v>
      </c>
      <c r="AO422" s="220">
        <f t="shared" si="875"/>
        <v>4.9254317111459969</v>
      </c>
      <c r="AP422" s="1062">
        <f t="shared" si="875"/>
        <v>10.475255302435192</v>
      </c>
      <c r="AQ422" s="220">
        <f t="shared" si="875"/>
        <v>2.7312081857536405</v>
      </c>
      <c r="AR422" s="220">
        <f t="shared" si="875"/>
        <v>3.4452785460292374</v>
      </c>
      <c r="AS422" s="220">
        <f t="shared" si="875"/>
        <v>2.5989604158336665</v>
      </c>
      <c r="AT422" s="220">
        <f t="shared" si="875"/>
        <v>5.1907467532467528</v>
      </c>
      <c r="AU422" s="1062">
        <f t="shared" si="875"/>
        <v>13.935406698564593</v>
      </c>
      <c r="AV422" s="220">
        <f t="shared" si="875"/>
        <v>4.2265080016413625</v>
      </c>
      <c r="AW422" s="220">
        <f t="shared" si="875"/>
        <v>2.5756947324761512</v>
      </c>
      <c r="AX422" s="220">
        <f t="shared" si="876" ref="AX422:AZ422">(AX415+AX414)/AX427</f>
        <v>2.1941992433795714</v>
      </c>
      <c r="AY422" s="220">
        <f t="shared" si="876"/>
        <v>3.4066864155734233</v>
      </c>
      <c r="AZ422" s="1062">
        <f t="shared" si="876"/>
        <v>12.423863162286192</v>
      </c>
      <c r="BA422" s="220">
        <f t="shared" si="877" ref="BA422:BR422">(BA415+BA414)/BA427</f>
        <v>4.1083617747440275</v>
      </c>
      <c r="BB422" s="220">
        <f t="shared" si="877"/>
        <v>0.0609490639965172</v>
      </c>
      <c r="BC422" s="220">
        <f t="shared" si="877"/>
        <v>1.9515361315447859</v>
      </c>
      <c r="BD422" s="220">
        <f t="shared" si="877"/>
        <v>7.0142795326698399</v>
      </c>
      <c r="BE422" s="1062">
        <f t="shared" si="877"/>
        <v>13.135228251507321</v>
      </c>
      <c r="BF422" s="220">
        <f>(BF415+BF414)/BF427</f>
        <v>4.6896551724137927</v>
      </c>
      <c r="BG422" s="220">
        <f>(BG415+BG414)/BG427</f>
        <v>2.5053995680345573</v>
      </c>
      <c r="BH422" s="846">
        <f>(BH415+BH414)/BH427</f>
        <v>5.238508239375542</v>
      </c>
      <c r="BI422" s="218">
        <f t="shared" ca="1" si="877"/>
        <v>6.220223723116062</v>
      </c>
      <c r="BJ422" s="1063">
        <f t="shared" ca="1" si="877"/>
        <v>18.655138977364366</v>
      </c>
      <c r="BK422" s="218">
        <f t="shared" ca="1" si="877"/>
        <v>5.589098779702586</v>
      </c>
      <c r="BL422" s="218">
        <f t="shared" ca="1" si="877"/>
        <v>3.7673790516475316</v>
      </c>
      <c r="BM422" s="218">
        <f t="shared" ca="1" si="877"/>
        <v>4.6172089110898602</v>
      </c>
      <c r="BN422" s="218">
        <f t="shared" ca="1" si="877"/>
        <v>6.5483306828064807</v>
      </c>
      <c r="BO422" s="1063">
        <f t="shared" ca="1" si="877"/>
        <v>20.522017425246403</v>
      </c>
      <c r="BP422" s="1063">
        <f t="shared" ca="1" si="877"/>
        <v>22.556135170478829</v>
      </c>
      <c r="BQ422" s="1063">
        <f t="shared" ca="1" si="877"/>
        <v>24.273578434431382</v>
      </c>
      <c r="BR422" s="1063">
        <f t="shared" ca="1" si="877"/>
        <v>22.106449929871207</v>
      </c>
      <c r="BS422" s="220"/>
    </row>
    <row r="423" spans="1:71" s="213" customFormat="1" ht="15">
      <c r="A423" s="374" t="str">
        <f>CONCATENATE("Consensus Estimates - ",IFERROR(LEFT(A422,FIND("(",A422)-1),A422))</f>
        <v>Consensus Estimates - Core Income Per Share - WAD</v>
      </c>
      <c r="B423" s="115"/>
      <c r="C423" s="1064"/>
      <c r="D423" s="1064"/>
      <c r="E423" s="1064"/>
      <c r="F423" s="1064"/>
      <c r="G423" s="1064"/>
      <c r="H423" s="79"/>
      <c r="I423" s="79"/>
      <c r="J423" s="79"/>
      <c r="K423" s="79"/>
      <c r="L423" s="1064"/>
      <c r="M423" s="79"/>
      <c r="N423" s="79"/>
      <c r="O423" s="79"/>
      <c r="P423" s="79"/>
      <c r="Q423" s="1064"/>
      <c r="R423" s="79"/>
      <c r="S423" s="80"/>
      <c r="T423" s="79"/>
      <c r="U423" s="79"/>
      <c r="V423" s="1064"/>
      <c r="W423" s="79"/>
      <c r="X423" s="80"/>
      <c r="Y423" s="79"/>
      <c r="Z423" s="79"/>
      <c r="AA423" s="1065"/>
      <c r="AB423" s="79"/>
      <c r="AC423" s="80"/>
      <c r="AD423" s="79"/>
      <c r="AE423" s="79"/>
      <c r="AF423" s="1065"/>
      <c r="AG423" s="79"/>
      <c r="AH423" s="80"/>
      <c r="AI423" s="79"/>
      <c r="AJ423" s="79"/>
      <c r="AK423" s="1065"/>
      <c r="AL423" s="79"/>
      <c r="AM423" s="80"/>
      <c r="AN423" s="79"/>
      <c r="AO423" s="79"/>
      <c r="AP423" s="1065"/>
      <c r="AQ423" s="79"/>
      <c r="AR423" s="80"/>
      <c r="AS423" s="79"/>
      <c r="AT423" s="79"/>
      <c r="AU423" s="1065"/>
      <c r="AV423" s="79"/>
      <c r="AW423" s="80"/>
      <c r="AX423" s="79"/>
      <c r="AY423" s="79"/>
      <c r="AZ423" s="1065"/>
      <c r="BA423" s="79"/>
      <c r="BB423" s="80"/>
      <c r="BC423" s="79"/>
      <c r="BD423" s="79"/>
      <c r="BE423" s="1065"/>
      <c r="BF423" s="79"/>
      <c r="BG423" s="80"/>
      <c r="BH423" s="822"/>
      <c r="BI423" s="807" t="str">
        <f ca="1" t="shared" si="878" ref="BI423:BO423">IFERROR(VLOOKUP($A423,tb_ConsensusEstimate,MATCH(BI$5,OFFSET(tb_ConsensusEstimate,0,0,1,COLUMNS(tb_ConsensusEstimate)),0),FALSE),"-")</f>
        <v>N/A</v>
      </c>
      <c r="BJ423" s="1065" t="str">
        <f t="shared" ca="1" si="878"/>
        <v>N/A</v>
      </c>
      <c r="BK423" s="807" t="str">
        <f t="shared" ca="1" si="878"/>
        <v>N/A</v>
      </c>
      <c r="BL423" s="807" t="str">
        <f t="shared" ca="1" si="878"/>
        <v>N/A</v>
      </c>
      <c r="BM423" s="807" t="str">
        <f t="shared" ca="1" si="878"/>
        <v>N/A</v>
      </c>
      <c r="BN423" s="807" t="str">
        <f t="shared" ca="1" si="878"/>
        <v>N/A</v>
      </c>
      <c r="BO423" s="1065" t="str">
        <f t="shared" ca="1" si="878"/>
        <v>N/A</v>
      </c>
      <c r="BP423" s="1065" t="str">
        <f ca="1">IFERROR(VLOOKUP($A423,tb_ConsensusEstimate,MATCH(BP5,OFFSET(tb_ConsensusEstimate,0,0,1,COLUMNS(tb_ConsensusEstimate)),0),FALSE),"-")</f>
        <v>N/A</v>
      </c>
      <c r="BQ423" s="1065" t="str">
        <f ca="1">IFERROR(VLOOKUP($A423,tb_ConsensusEstimate,MATCH(BQ5,OFFSET(tb_ConsensusEstimate,0,0,1,COLUMNS(tb_ConsensusEstimate)),0),FALSE),"-")</f>
        <v>N/A</v>
      </c>
      <c r="BR423" s="1065" t="str">
        <f ca="1">IFERROR(VLOOKUP($A423,tb_ConsensusEstimate,MATCH(BR5,OFFSET(tb_ConsensusEstimate,0,0,1,COLUMNS(tb_ConsensusEstimate)),0),FALSE),"-")</f>
        <v>N/A</v>
      </c>
      <c r="BS423" s="79"/>
    </row>
    <row r="424" spans="1:71" s="616" customFormat="1" ht="15">
      <c r="A424" s="617"/>
      <c r="B424" s="618"/>
      <c r="C424" s="1066"/>
      <c r="D424" s="1066"/>
      <c r="E424" s="1066"/>
      <c r="F424" s="1066"/>
      <c r="G424" s="1066"/>
      <c r="H424" s="617"/>
      <c r="I424" s="617"/>
      <c r="J424" s="617"/>
      <c r="K424" s="617"/>
      <c r="L424" s="1066"/>
      <c r="M424" s="617"/>
      <c r="N424" s="617"/>
      <c r="O424" s="617"/>
      <c r="P424" s="617"/>
      <c r="Q424" s="1066"/>
      <c r="R424" s="617"/>
      <c r="S424" s="617"/>
      <c r="T424" s="617"/>
      <c r="U424" s="617"/>
      <c r="V424" s="1066"/>
      <c r="W424" s="617"/>
      <c r="X424" s="617"/>
      <c r="Y424" s="617"/>
      <c r="Z424" s="617"/>
      <c r="AA424" s="1066"/>
      <c r="AB424" s="617"/>
      <c r="AC424" s="617"/>
      <c r="AD424" s="617"/>
      <c r="AE424" s="617"/>
      <c r="AF424" s="1066"/>
      <c r="AG424" s="617"/>
      <c r="AH424" s="617"/>
      <c r="AI424" s="617"/>
      <c r="AJ424" s="617"/>
      <c r="AK424" s="1066"/>
      <c r="AL424" s="617"/>
      <c r="AM424" s="617"/>
      <c r="AN424" s="617"/>
      <c r="AO424" s="617"/>
      <c r="AP424" s="1066"/>
      <c r="AQ424" s="617"/>
      <c r="AR424" s="617"/>
      <c r="AS424" s="617"/>
      <c r="AT424" s="617"/>
      <c r="AU424" s="1066"/>
      <c r="AV424" s="617"/>
      <c r="AW424" s="617"/>
      <c r="AX424" s="617"/>
      <c r="AY424" s="617"/>
      <c r="AZ424" s="1066"/>
      <c r="BA424" s="617"/>
      <c r="BB424" s="617"/>
      <c r="BC424" s="617"/>
      <c r="BD424" s="617"/>
      <c r="BE424" s="1066"/>
      <c r="BF424" s="617"/>
      <c r="BG424" s="617"/>
      <c r="BH424" s="769"/>
      <c r="BI424" s="617"/>
      <c r="BJ424" s="1066"/>
      <c r="BK424" s="617"/>
      <c r="BL424" s="617"/>
      <c r="BM424" s="617"/>
      <c r="BN424" s="617"/>
      <c r="BO424" s="1066"/>
      <c r="BP424" s="1066"/>
      <c r="BQ424" s="1066"/>
      <c r="BR424" s="1066"/>
      <c r="BS424" s="615"/>
    </row>
    <row r="425" spans="1:71" s="24" customFormat="1" ht="15">
      <c r="A425" s="833" t="s">
        <v>159</v>
      </c>
      <c r="B425" s="462"/>
      <c r="C425" s="1067">
        <v>563.20000000000005</v>
      </c>
      <c r="D425" s="1067">
        <v>476.50</v>
      </c>
      <c r="E425" s="1067">
        <v>415.80</v>
      </c>
      <c r="F425" s="1067">
        <v>386.20</v>
      </c>
      <c r="G425" s="1067">
        <v>370.30</v>
      </c>
      <c r="H425" s="952">
        <v>350.90</v>
      </c>
      <c r="I425" s="952">
        <v>343</v>
      </c>
      <c r="J425" s="952">
        <v>335.10</v>
      </c>
      <c r="K425" s="952">
        <v>326.80</v>
      </c>
      <c r="L425" s="1067">
        <v>338.80</v>
      </c>
      <c r="M425" s="952">
        <v>320.80</v>
      </c>
      <c r="N425" s="952">
        <v>314.80</v>
      </c>
      <c r="O425" s="952">
        <v>307.60000000000002</v>
      </c>
      <c r="P425" s="952">
        <v>299.70</v>
      </c>
      <c r="Q425" s="1067">
        <v>310.60000000000002</v>
      </c>
      <c r="R425" s="952">
        <v>294.20</v>
      </c>
      <c r="S425" s="952">
        <v>290.10000000000002</v>
      </c>
      <c r="T425" s="952">
        <v>286</v>
      </c>
      <c r="U425" s="952">
        <v>282.10000000000002</v>
      </c>
      <c r="V425" s="1067">
        <v>288.10000000000002</v>
      </c>
      <c r="W425" s="952">
        <v>279.70</v>
      </c>
      <c r="X425" s="952">
        <v>277.50</v>
      </c>
      <c r="Y425" s="952">
        <v>274.10000000000002</v>
      </c>
      <c r="Z425" s="952">
        <v>272.80</v>
      </c>
      <c r="AA425" s="1067">
        <v>276</v>
      </c>
      <c r="AB425" s="952">
        <v>271</v>
      </c>
      <c r="AC425" s="952">
        <v>268.70</v>
      </c>
      <c r="AD425" s="952">
        <v>266.10000000000002</v>
      </c>
      <c r="AE425" s="952">
        <v>263.89999999999998</v>
      </c>
      <c r="AF425" s="1067">
        <v>267.39999999999998</v>
      </c>
      <c r="AG425" s="952">
        <v>262.89999999999998</v>
      </c>
      <c r="AH425" s="952">
        <v>261.30</v>
      </c>
      <c r="AI425" s="952">
        <v>259.20</v>
      </c>
      <c r="AJ425" s="952">
        <v>256.80</v>
      </c>
      <c r="AK425" s="1067">
        <v>260</v>
      </c>
      <c r="AL425" s="952">
        <v>254.40</v>
      </c>
      <c r="AM425" s="952">
        <v>251.60</v>
      </c>
      <c r="AN425" s="952">
        <v>253.30</v>
      </c>
      <c r="AO425" s="952">
        <v>253.40</v>
      </c>
      <c r="AP425" s="1067">
        <v>253.50</v>
      </c>
      <c r="AQ425" s="952">
        <v>252.10</v>
      </c>
      <c r="AR425" s="952">
        <v>250.70</v>
      </c>
      <c r="AS425" s="952">
        <v>247.70</v>
      </c>
      <c r="AT425" s="952">
        <v>243.80</v>
      </c>
      <c r="AU425" s="1067">
        <v>248.50</v>
      </c>
      <c r="AV425" s="952">
        <v>240.90</v>
      </c>
      <c r="AW425" s="952">
        <v>238.40</v>
      </c>
      <c r="AX425" s="952">
        <v>235.40</v>
      </c>
      <c r="AY425" s="952">
        <v>233.20</v>
      </c>
      <c r="AZ425" s="1067">
        <v>237</v>
      </c>
      <c r="BA425" s="952">
        <v>231.70</v>
      </c>
      <c r="BB425" s="952">
        <v>229.70</v>
      </c>
      <c r="BC425" s="952">
        <v>228.80</v>
      </c>
      <c r="BD425" s="952">
        <v>228.40</v>
      </c>
      <c r="BE425" s="1067">
        <v>229.70</v>
      </c>
      <c r="BF425" s="952">
        <v>229</v>
      </c>
      <c r="BG425" s="952">
        <v>228.60</v>
      </c>
      <c r="BH425" s="953">
        <v>227.40</v>
      </c>
      <c r="BI425" s="857">
        <f ca="1">AVERAGE(BH430,BI430)</f>
        <v>227</v>
      </c>
      <c r="BJ425" s="1011">
        <f ca="1">SUM(BF425*BF3,BG425*BG3,BH425*BH3,BI425*BI3)/BJ3</f>
        <v>227.99562841530053</v>
      </c>
      <c r="BK425" s="857">
        <f ca="1">AVERAGE(BJ430,BK430)</f>
        <v>227</v>
      </c>
      <c r="BL425" s="857">
        <f ca="1">AVERAGE(BK430,BL430)</f>
        <v>227</v>
      </c>
      <c r="BM425" s="857">
        <f ca="1">AVERAGE(BL430,BM430)</f>
        <v>227</v>
      </c>
      <c r="BN425" s="857">
        <f ca="1">AVERAGE(BM430,BN430)</f>
        <v>227</v>
      </c>
      <c r="BO425" s="1011">
        <f ca="1">SUM(BK425*BK3,BL425*BL3,BM425*BM3,BN425*BN3)/BO3</f>
        <v>227</v>
      </c>
      <c r="BP425" s="1011">
        <f ca="1">AVERAGE(BO430,BP430)</f>
        <v>227</v>
      </c>
      <c r="BQ425" s="1011">
        <f ca="1">AVERAGE(BP430,BQ430)</f>
        <v>227</v>
      </c>
      <c r="BR425" s="1011">
        <f ca="1">AVERAGE(BQ430,BR430)</f>
        <v>227</v>
      </c>
      <c r="BS425" s="833"/>
    </row>
    <row r="426" spans="1:71" s="24" customFormat="1" ht="15">
      <c r="A426" s="833" t="s">
        <v>160</v>
      </c>
      <c r="B426" s="462"/>
      <c r="C426" s="1067">
        <v>568.60</v>
      </c>
      <c r="D426" s="1067">
        <v>482.50</v>
      </c>
      <c r="E426" s="1067">
        <v>420.50</v>
      </c>
      <c r="F426" s="1067">
        <v>389.80</v>
      </c>
      <c r="G426" s="1067">
        <v>374.30</v>
      </c>
      <c r="H426" s="952">
        <v>354.60</v>
      </c>
      <c r="I426" s="952">
        <v>346.70</v>
      </c>
      <c r="J426" s="952">
        <v>338.90</v>
      </c>
      <c r="K426" s="952">
        <v>331</v>
      </c>
      <c r="L426" s="1067">
        <v>342.50</v>
      </c>
      <c r="M426" s="952">
        <v>324.50</v>
      </c>
      <c r="N426" s="952">
        <v>318</v>
      </c>
      <c r="O426" s="952">
        <v>311</v>
      </c>
      <c r="P426" s="952">
        <v>303.30</v>
      </c>
      <c r="Q426" s="1067">
        <v>313.89999999999998</v>
      </c>
      <c r="R426" s="952">
        <v>297.89999999999998</v>
      </c>
      <c r="S426" s="952">
        <v>293.60000000000002</v>
      </c>
      <c r="T426" s="952">
        <v>289.80</v>
      </c>
      <c r="U426" s="952">
        <v>285.10000000000002</v>
      </c>
      <c r="V426" s="1067">
        <v>291</v>
      </c>
      <c r="W426" s="952">
        <v>282.39999999999998</v>
      </c>
      <c r="X426" s="952">
        <v>280</v>
      </c>
      <c r="Y426" s="952">
        <v>276.60000000000002</v>
      </c>
      <c r="Z426" s="952">
        <v>275.70</v>
      </c>
      <c r="AA426" s="1067">
        <v>278.60000000000002</v>
      </c>
      <c r="AB426" s="952">
        <v>273.89999999999998</v>
      </c>
      <c r="AC426" s="952">
        <v>271.10000000000002</v>
      </c>
      <c r="AD426" s="952">
        <v>268.39999999999998</v>
      </c>
      <c r="AE426" s="952">
        <v>266</v>
      </c>
      <c r="AF426" s="1067">
        <v>269.80</v>
      </c>
      <c r="AG426" s="952">
        <v>264.80</v>
      </c>
      <c r="AH426" s="952">
        <v>263.70</v>
      </c>
      <c r="AI426" s="952">
        <v>261.80</v>
      </c>
      <c r="AJ426" s="952">
        <v>259</v>
      </c>
      <c r="AK426" s="1067">
        <v>262.30</v>
      </c>
      <c r="AL426" s="952">
        <v>255.90</v>
      </c>
      <c r="AM426" s="952">
        <v>251.60</v>
      </c>
      <c r="AN426" s="952">
        <v>254.30</v>
      </c>
      <c r="AO426" s="952">
        <v>254.80</v>
      </c>
      <c r="AP426" s="1067">
        <v>254.60</v>
      </c>
      <c r="AQ426" s="952">
        <v>254.10</v>
      </c>
      <c r="AR426" s="952">
        <v>253.10</v>
      </c>
      <c r="AS426" s="952">
        <v>250.10</v>
      </c>
      <c r="AT426" s="952">
        <v>246.40</v>
      </c>
      <c r="AU426" s="1067">
        <v>250.80</v>
      </c>
      <c r="AV426" s="952">
        <v>243.70</v>
      </c>
      <c r="AW426" s="952">
        <v>241.10</v>
      </c>
      <c r="AX426" s="952">
        <v>237.90</v>
      </c>
      <c r="AY426" s="952">
        <v>236.30</v>
      </c>
      <c r="AZ426" s="1067">
        <v>239.70</v>
      </c>
      <c r="BA426" s="952">
        <v>234.40</v>
      </c>
      <c r="BB426" s="952">
        <v>229.70</v>
      </c>
      <c r="BC426" s="952">
        <v>231.10</v>
      </c>
      <c r="BD426" s="952">
        <v>231.10</v>
      </c>
      <c r="BE426" s="1067">
        <v>232.20</v>
      </c>
      <c r="BF426" s="952">
        <v>232</v>
      </c>
      <c r="BG426" s="952">
        <v>231.50</v>
      </c>
      <c r="BH426" s="953">
        <v>230.60</v>
      </c>
      <c r="BI426" s="857">
        <f ca="1">IF(BI412&lt;0,BI425,AVERAGE(BH444,BI444))</f>
        <v>229.735</v>
      </c>
      <c r="BJ426" s="1011">
        <f ca="1">IF(BJ412&lt;0,BJ425,SUM(AVERAGE(BE444,BF444)*BF3,AVERAGE(BF444,BG444)*BG3,AVERAGE(BG444,BH444)*BH3,AVERAGE(BH444,BI444)*BI3)/BJ3)</f>
        <v>230.76767759562841</v>
      </c>
      <c r="BK426" s="857">
        <f ca="1">IF(BK412&lt;0,BK425,AVERAGE(BJ444,BK444))</f>
        <v>229.27</v>
      </c>
      <c r="BL426" s="857">
        <f ca="1">IF(BL412&lt;0,BL425,AVERAGE(BK444,BL444))</f>
        <v>229.27</v>
      </c>
      <c r="BM426" s="857">
        <f ca="1">IF(BM412&lt;0,BM425,AVERAGE(BL444,BM444))</f>
        <v>229.27</v>
      </c>
      <c r="BN426" s="857">
        <f ca="1">IF(BN412&lt;0,BN425,AVERAGE(BM444,BN444))</f>
        <v>229.27</v>
      </c>
      <c r="BO426" s="1011">
        <f ca="1">IF(BO412&lt;0,BO425,SUM(AVERAGE(BJ444,BK444)*BK3,AVERAGE(BK444,BL444)*BL3,AVERAGE(BL444,BM444)*BM3,AVERAGE(BM444,BN444)*BN3)/BO3)</f>
        <v>229.26999999999998</v>
      </c>
      <c r="BP426" s="1011">
        <f ca="1">IF(BP412&lt;0,BP425,AVERAGE(BO444,BP444))</f>
        <v>229.27</v>
      </c>
      <c r="BQ426" s="1011">
        <f ca="1">IF(BQ412&lt;0,BQ425,AVERAGE(BP444,BQ444))</f>
        <v>229.27</v>
      </c>
      <c r="BR426" s="1011">
        <f ca="1">IF(BR412&lt;0,BR425,AVERAGE(BQ444,BR444))</f>
        <v>229.27</v>
      </c>
      <c r="BS426" s="833"/>
    </row>
    <row r="427" spans="1:71" s="24" customFormat="1" ht="15">
      <c r="A427" s="833" t="s">
        <v>161</v>
      </c>
      <c r="B427" s="462"/>
      <c r="C427" s="1068">
        <f t="shared" si="879" ref="C427:AM427">C426</f>
        <v>568.60</v>
      </c>
      <c r="D427" s="1068">
        <f t="shared" si="879"/>
        <v>482.50</v>
      </c>
      <c r="E427" s="1068">
        <f t="shared" si="879"/>
        <v>420.50</v>
      </c>
      <c r="F427" s="1068">
        <f t="shared" si="879"/>
        <v>389.80</v>
      </c>
      <c r="G427" s="1068">
        <f t="shared" si="879"/>
        <v>374.30</v>
      </c>
      <c r="H427" s="871">
        <f t="shared" si="879"/>
        <v>354.60</v>
      </c>
      <c r="I427" s="871">
        <f t="shared" si="879"/>
        <v>346.70</v>
      </c>
      <c r="J427" s="871">
        <f t="shared" si="879"/>
        <v>338.90</v>
      </c>
      <c r="K427" s="871">
        <f t="shared" si="879"/>
        <v>331</v>
      </c>
      <c r="L427" s="1068">
        <f t="shared" si="879"/>
        <v>342.50</v>
      </c>
      <c r="M427" s="871">
        <f t="shared" si="879"/>
        <v>324.50</v>
      </c>
      <c r="N427" s="871">
        <f t="shared" si="879"/>
        <v>318</v>
      </c>
      <c r="O427" s="871">
        <f t="shared" si="879"/>
        <v>311</v>
      </c>
      <c r="P427" s="871">
        <f t="shared" si="879"/>
        <v>303.30</v>
      </c>
      <c r="Q427" s="1068">
        <f t="shared" si="879"/>
        <v>313.89999999999998</v>
      </c>
      <c r="R427" s="871">
        <f t="shared" si="879"/>
        <v>297.89999999999998</v>
      </c>
      <c r="S427" s="871">
        <f t="shared" si="879"/>
        <v>293.60000000000002</v>
      </c>
      <c r="T427" s="871">
        <f t="shared" si="879"/>
        <v>289.80</v>
      </c>
      <c r="U427" s="871">
        <f t="shared" si="879"/>
        <v>285.10000000000002</v>
      </c>
      <c r="V427" s="1068">
        <f t="shared" si="879"/>
        <v>291</v>
      </c>
      <c r="W427" s="871">
        <f t="shared" si="879"/>
        <v>282.39999999999998</v>
      </c>
      <c r="X427" s="871">
        <f t="shared" si="879"/>
        <v>280</v>
      </c>
      <c r="Y427" s="871">
        <f t="shared" si="879"/>
        <v>276.60000000000002</v>
      </c>
      <c r="Z427" s="871">
        <f t="shared" si="879"/>
        <v>275.70</v>
      </c>
      <c r="AA427" s="1068">
        <f t="shared" si="879"/>
        <v>278.60000000000002</v>
      </c>
      <c r="AB427" s="871">
        <f t="shared" si="879"/>
        <v>273.89999999999998</v>
      </c>
      <c r="AC427" s="871">
        <f t="shared" si="879"/>
        <v>271.10000000000002</v>
      </c>
      <c r="AD427" s="871">
        <f t="shared" si="879"/>
        <v>268.39999999999998</v>
      </c>
      <c r="AE427" s="871">
        <f t="shared" si="879"/>
        <v>266</v>
      </c>
      <c r="AF427" s="1068">
        <f t="shared" si="879"/>
        <v>269.80</v>
      </c>
      <c r="AG427" s="871">
        <f t="shared" si="879"/>
        <v>264.80</v>
      </c>
      <c r="AH427" s="871">
        <f t="shared" si="879"/>
        <v>263.70</v>
      </c>
      <c r="AI427" s="871">
        <f t="shared" si="879"/>
        <v>261.80</v>
      </c>
      <c r="AJ427" s="871">
        <f t="shared" si="879"/>
        <v>259</v>
      </c>
      <c r="AK427" s="1068">
        <f t="shared" si="879"/>
        <v>262.30</v>
      </c>
      <c r="AL427" s="871">
        <f t="shared" si="879"/>
        <v>255.90</v>
      </c>
      <c r="AM427" s="871">
        <f t="shared" si="879"/>
        <v>251.60</v>
      </c>
      <c r="AN427" s="871">
        <f>AN426</f>
        <v>254.30</v>
      </c>
      <c r="AO427" s="871">
        <f t="shared" si="880" ref="AO427:AQ427">AO426</f>
        <v>254.80</v>
      </c>
      <c r="AP427" s="1068">
        <f t="shared" si="880"/>
        <v>254.60</v>
      </c>
      <c r="AQ427" s="871">
        <f t="shared" si="880"/>
        <v>254.10</v>
      </c>
      <c r="AR427" s="871">
        <f t="shared" si="881" ref="AR427:AU427">AR426</f>
        <v>253.10</v>
      </c>
      <c r="AS427" s="871">
        <f t="shared" si="881"/>
        <v>250.10</v>
      </c>
      <c r="AT427" s="871">
        <f t="shared" si="881"/>
        <v>246.40</v>
      </c>
      <c r="AU427" s="1068">
        <f t="shared" si="881"/>
        <v>250.80</v>
      </c>
      <c r="AV427" s="871">
        <f t="shared" si="882" ref="AV427:AZ427">AV426</f>
        <v>243.70</v>
      </c>
      <c r="AW427" s="871">
        <f t="shared" si="882"/>
        <v>241.10</v>
      </c>
      <c r="AX427" s="871">
        <f t="shared" si="882"/>
        <v>237.90</v>
      </c>
      <c r="AY427" s="871">
        <f t="shared" si="882"/>
        <v>236.30</v>
      </c>
      <c r="AZ427" s="1068">
        <f t="shared" si="882"/>
        <v>239.70</v>
      </c>
      <c r="BA427" s="871">
        <f t="shared" si="883" ref="BA427:BF427">BA426</f>
        <v>234.40</v>
      </c>
      <c r="BB427" s="871">
        <f t="shared" si="883"/>
        <v>229.70</v>
      </c>
      <c r="BC427" s="871">
        <f t="shared" si="883"/>
        <v>231.10</v>
      </c>
      <c r="BD427" s="871">
        <f t="shared" si="883"/>
        <v>231.10</v>
      </c>
      <c r="BE427" s="1068">
        <f t="shared" si="883"/>
        <v>232.20</v>
      </c>
      <c r="BF427" s="871">
        <f t="shared" si="883"/>
        <v>232</v>
      </c>
      <c r="BG427" s="871">
        <f>BG426</f>
        <v>231.50</v>
      </c>
      <c r="BH427" s="872">
        <f>BH426</f>
        <v>230.60</v>
      </c>
      <c r="BI427" s="857">
        <f ca="1">IF(BI415&lt;0,BI425,AVERAGE(BH444,BI444))</f>
        <v>229.735</v>
      </c>
      <c r="BJ427" s="1011">
        <f ca="1">IF(BJ415&lt;0,BJ425,SUM(AVERAGE(BE444,BF444)*BF3,AVERAGE(BF444,BG444)*BG3,AVERAGE(BG444,BH444)*BH3,AVERAGE(BH444,BI444)*BI3)/BJ3)</f>
        <v>230.76767759562841</v>
      </c>
      <c r="BK427" s="857">
        <f ca="1">IF(BK415&lt;0,BK425,AVERAGE(BJ444,BK444))</f>
        <v>229.27</v>
      </c>
      <c r="BL427" s="857">
        <f ca="1">IF(BL415&lt;0,BL425,AVERAGE(BK444,BL444))</f>
        <v>229.27</v>
      </c>
      <c r="BM427" s="857">
        <f ca="1">IF(BM415&lt;0,BM425,AVERAGE(BL444,BM444))</f>
        <v>229.27</v>
      </c>
      <c r="BN427" s="857">
        <f ca="1">IF(BN415&lt;0,BN425,AVERAGE(BM444,BN444))</f>
        <v>229.27</v>
      </c>
      <c r="BO427" s="1011">
        <f ca="1">IF(BO415&lt;0,BO425,SUM(AVERAGE(BJ444,BK444)*BK3,AVERAGE(BK444,BL444)*BL3,AVERAGE(BL444,BM444)*BM3,AVERAGE(BM444,BN444)*BN3)/BO3)</f>
        <v>229.26999999999998</v>
      </c>
      <c r="BP427" s="1011">
        <f ca="1">IF(BP415&lt;0,BP425,AVERAGE(BO444,BP444))</f>
        <v>229.27</v>
      </c>
      <c r="BQ427" s="1011">
        <f ca="1">IF(BQ415&lt;0,BQ425,AVERAGE(BP444,BQ444))</f>
        <v>229.27</v>
      </c>
      <c r="BR427" s="1011">
        <f ca="1">IF(BR415&lt;0,BR425,AVERAGE(BQ444,BR444))</f>
        <v>229.27</v>
      </c>
      <c r="BS427" s="833"/>
    </row>
    <row r="428" spans="1:71" s="24" customFormat="1" ht="15">
      <c r="A428" s="454"/>
      <c r="B428" s="462"/>
      <c r="C428" s="1011"/>
      <c r="D428" s="1011"/>
      <c r="E428" s="1011"/>
      <c r="F428" s="1011"/>
      <c r="G428" s="1011"/>
      <c r="H428" s="857"/>
      <c r="I428" s="857"/>
      <c r="J428" s="857"/>
      <c r="K428" s="857"/>
      <c r="L428" s="1011"/>
      <c r="M428" s="857"/>
      <c r="N428" s="857"/>
      <c r="O428" s="857"/>
      <c r="P428" s="857"/>
      <c r="Q428" s="1011"/>
      <c r="R428" s="857"/>
      <c r="S428" s="857"/>
      <c r="T428" s="857"/>
      <c r="U428" s="857"/>
      <c r="V428" s="1011"/>
      <c r="W428" s="857"/>
      <c r="X428" s="857"/>
      <c r="Y428" s="857"/>
      <c r="Z428" s="857"/>
      <c r="AA428" s="1011"/>
      <c r="AB428" s="857"/>
      <c r="AC428" s="857"/>
      <c r="AD428" s="857"/>
      <c r="AE428" s="857"/>
      <c r="AF428" s="1011"/>
      <c r="AG428" s="857"/>
      <c r="AH428" s="857"/>
      <c r="AI428" s="857"/>
      <c r="AJ428" s="857"/>
      <c r="AK428" s="1011"/>
      <c r="AL428" s="857"/>
      <c r="AM428" s="857"/>
      <c r="AN428" s="857"/>
      <c r="AO428" s="857"/>
      <c r="AP428" s="1011"/>
      <c r="AQ428" s="857"/>
      <c r="AR428" s="857"/>
      <c r="AS428" s="857"/>
      <c r="AT428" s="857"/>
      <c r="AU428" s="1011"/>
      <c r="AV428" s="857"/>
      <c r="AW428" s="857"/>
      <c r="AX428" s="857"/>
      <c r="AY428" s="857"/>
      <c r="AZ428" s="1011"/>
      <c r="BA428" s="857"/>
      <c r="BB428" s="857"/>
      <c r="BC428" s="857"/>
      <c r="BD428" s="857"/>
      <c r="BE428" s="1011"/>
      <c r="BF428" s="857"/>
      <c r="BG428" s="857"/>
      <c r="BH428" s="858"/>
      <c r="BI428" s="857"/>
      <c r="BJ428" s="1011"/>
      <c r="BK428" s="857"/>
      <c r="BL428" s="857"/>
      <c r="BM428" s="857"/>
      <c r="BN428" s="857"/>
      <c r="BO428" s="1011"/>
      <c r="BP428" s="1011"/>
      <c r="BQ428" s="1011"/>
      <c r="BR428" s="1011"/>
      <c r="BS428" s="833"/>
    </row>
    <row r="429" spans="1:71" s="24" customFormat="1" ht="15">
      <c r="A429" s="620" t="s">
        <v>581</v>
      </c>
      <c r="B429" s="621"/>
      <c r="C429" s="416"/>
      <c r="D429" s="416"/>
      <c r="E429" s="416"/>
      <c r="F429" s="416"/>
      <c r="G429" s="416"/>
      <c r="H429" s="416"/>
      <c r="I429" s="416"/>
      <c r="J429" s="416"/>
      <c r="K429" s="416"/>
      <c r="L429" s="416"/>
      <c r="M429" s="416"/>
      <c r="N429" s="416"/>
      <c r="O429" s="416"/>
      <c r="P429" s="416"/>
      <c r="Q429" s="416"/>
      <c r="R429" s="416"/>
      <c r="S429" s="416"/>
      <c r="T429" s="416"/>
      <c r="U429" s="416"/>
      <c r="V429" s="416"/>
      <c r="W429" s="416"/>
      <c r="X429" s="416"/>
      <c r="Y429" s="416"/>
      <c r="Z429" s="416"/>
      <c r="AA429" s="416"/>
      <c r="AB429" s="416"/>
      <c r="AC429" s="416"/>
      <c r="AD429" s="416"/>
      <c r="AE429" s="416"/>
      <c r="AF429" s="416"/>
      <c r="AG429" s="416"/>
      <c r="AH429" s="416"/>
      <c r="AI429" s="416"/>
      <c r="AJ429" s="416"/>
      <c r="AK429" s="416"/>
      <c r="AL429" s="416"/>
      <c r="AM429" s="416"/>
      <c r="AN429" s="416"/>
      <c r="AO429" s="416"/>
      <c r="AP429" s="416"/>
      <c r="AQ429" s="416"/>
      <c r="AR429" s="416"/>
      <c r="AS429" s="416"/>
      <c r="AT429" s="416"/>
      <c r="AU429" s="416"/>
      <c r="AV429" s="416"/>
      <c r="AW429" s="416"/>
      <c r="AX429" s="416"/>
      <c r="AY429" s="416"/>
      <c r="AZ429" s="416"/>
      <c r="BA429" s="416"/>
      <c r="BB429" s="416"/>
      <c r="BC429" s="416"/>
      <c r="BD429" s="416"/>
      <c r="BE429" s="416"/>
      <c r="BF429" s="416"/>
      <c r="BG429" s="416"/>
      <c r="BH429" s="622"/>
      <c r="BI429" s="416"/>
      <c r="BJ429" s="416"/>
      <c r="BK429" s="416"/>
      <c r="BL429" s="416"/>
      <c r="BM429" s="416"/>
      <c r="BN429" s="416"/>
      <c r="BO429" s="416"/>
      <c r="BP429" s="416"/>
      <c r="BQ429" s="416"/>
      <c r="BR429" s="416"/>
      <c r="BS429" s="833"/>
    </row>
    <row r="430" spans="1:71" s="24" customFormat="1" ht="15" customHeight="1" hidden="1" outlineLevel="1">
      <c r="A430" s="625" t="s">
        <v>613</v>
      </c>
      <c r="B430" s="462"/>
      <c r="C430" s="1067">
        <v>520.29999999999995</v>
      </c>
      <c r="D430" s="1067">
        <v>434.60</v>
      </c>
      <c r="E430" s="1067">
        <v>392.80</v>
      </c>
      <c r="F430" s="1067">
        <v>377.40</v>
      </c>
      <c r="G430" s="1067">
        <v>353.50</v>
      </c>
      <c r="H430" s="952">
        <v>347.50</v>
      </c>
      <c r="I430" s="952">
        <v>339</v>
      </c>
      <c r="J430" s="952">
        <v>331.40</v>
      </c>
      <c r="K430" s="871">
        <f>L430</f>
        <v>322.20</v>
      </c>
      <c r="L430" s="1067">
        <v>322.20</v>
      </c>
      <c r="M430" s="952">
        <v>318.70</v>
      </c>
      <c r="N430" s="952">
        <v>311.20</v>
      </c>
      <c r="O430" s="952">
        <v>304.20</v>
      </c>
      <c r="P430" s="871">
        <f>Q430</f>
        <v>295.89999999999998</v>
      </c>
      <c r="Q430" s="1067">
        <v>295.89999999999998</v>
      </c>
      <c r="R430" s="952">
        <v>292.39999999999998</v>
      </c>
      <c r="S430" s="952">
        <v>288.30</v>
      </c>
      <c r="T430" s="952">
        <v>284.10000000000002</v>
      </c>
      <c r="U430" s="871">
        <f>V430</f>
        <v>279.60000000000002</v>
      </c>
      <c r="V430" s="1067">
        <v>279.60000000000002</v>
      </c>
      <c r="W430" s="952">
        <v>279.39999999999998</v>
      </c>
      <c r="X430" s="952">
        <v>275.89999999999998</v>
      </c>
      <c r="Y430" s="952">
        <v>273.70</v>
      </c>
      <c r="Z430" s="871">
        <f>AA430</f>
        <v>271.39999999999998</v>
      </c>
      <c r="AA430" s="1067">
        <v>271.39999999999998</v>
      </c>
      <c r="AB430" s="952">
        <v>270.20</v>
      </c>
      <c r="AC430" s="952">
        <v>267.70</v>
      </c>
      <c r="AD430" s="952">
        <v>264.80</v>
      </c>
      <c r="AE430" s="871">
        <f>AF430</f>
        <v>263.60000000000002</v>
      </c>
      <c r="AF430" s="1067">
        <v>263.60000000000002</v>
      </c>
      <c r="AG430" s="952">
        <v>261.89999999999998</v>
      </c>
      <c r="AH430" s="952">
        <v>260.30</v>
      </c>
      <c r="AI430" s="952">
        <v>258.10000000000002</v>
      </c>
      <c r="AJ430" s="871">
        <f>AK430</f>
        <v>255.50</v>
      </c>
      <c r="AK430" s="1067">
        <v>255.50</v>
      </c>
      <c r="AL430" s="952">
        <v>252.80</v>
      </c>
      <c r="AM430" s="952">
        <v>253.20</v>
      </c>
      <c r="AN430" s="952">
        <v>253.30</v>
      </c>
      <c r="AO430" s="871">
        <f>AP430</f>
        <v>252.40</v>
      </c>
      <c r="AP430" s="1067">
        <v>252.40</v>
      </c>
      <c r="AQ430" s="952">
        <v>251.50</v>
      </c>
      <c r="AR430" s="952">
        <v>249.50</v>
      </c>
      <c r="AS430" s="952">
        <v>246</v>
      </c>
      <c r="AT430" s="871">
        <f>AU430</f>
        <v>241.20</v>
      </c>
      <c r="AU430" s="1067">
        <v>241.20</v>
      </c>
      <c r="AV430" s="952">
        <v>240</v>
      </c>
      <c r="AW430" s="952">
        <v>237.30</v>
      </c>
      <c r="AX430" s="952">
        <v>234.30</v>
      </c>
      <c r="AY430" s="871">
        <f>AZ430</f>
        <v>232.10</v>
      </c>
      <c r="AZ430" s="1067">
        <v>232.10</v>
      </c>
      <c r="BA430" s="952">
        <v>231</v>
      </c>
      <c r="BB430" s="952">
        <v>228.90</v>
      </c>
      <c r="BC430" s="952">
        <v>228.40</v>
      </c>
      <c r="BD430" s="871">
        <f>BE430</f>
        <v>228.20</v>
      </c>
      <c r="BE430" s="1067">
        <v>228.20</v>
      </c>
      <c r="BF430" s="952">
        <v>229</v>
      </c>
      <c r="BG430" s="952">
        <v>227.90</v>
      </c>
      <c r="BH430" s="953">
        <v>227</v>
      </c>
      <c r="BI430" s="857">
        <f ca="1">BH430*(1+BI431)+BI491/(BI492/BI512)</f>
        <v>227</v>
      </c>
      <c r="BJ430" s="1011">
        <f ca="1">BI430</f>
        <v>227</v>
      </c>
      <c r="BK430" s="857">
        <f ca="1">BJ430*(1+BK431)+BK491/(BK492/BK512)</f>
        <v>227</v>
      </c>
      <c r="BL430" s="857">
        <f ca="1">BK430*(1+BL431)+BL491/(BL492/BL512)</f>
        <v>227</v>
      </c>
      <c r="BM430" s="857">
        <f ca="1">BL430*(1+BM431)+BM491/(BM492/BM512)</f>
        <v>227</v>
      </c>
      <c r="BN430" s="857">
        <f ca="1">BM430*(1+BN431)+BN491/(BN492/BN512)</f>
        <v>227</v>
      </c>
      <c r="BO430" s="1011">
        <f ca="1">BN430</f>
        <v>227</v>
      </c>
      <c r="BP430" s="1011">
        <f ca="1">BO430*(1+BP432)+BP491/(BP492/BP512)</f>
        <v>227</v>
      </c>
      <c r="BQ430" s="1011">
        <f ca="1">BP430*(1+BQ432)+BQ491/(BQ492/BQ512)</f>
        <v>227</v>
      </c>
      <c r="BR430" s="1011">
        <f ca="1">BQ430*(1+BR432)+BR491/(BR492/BR512)</f>
        <v>227</v>
      </c>
      <c r="BS430" s="833"/>
    </row>
    <row r="431" spans="1:71" s="24" customFormat="1" ht="15" customHeight="1" hidden="1" outlineLevel="1">
      <c r="A431" s="660" t="s">
        <v>602</v>
      </c>
      <c r="B431" s="837"/>
      <c r="C431" s="1022"/>
      <c r="D431" s="1022"/>
      <c r="E431" s="1022"/>
      <c r="F431" s="1022"/>
      <c r="G431" s="1022"/>
      <c r="H431" s="663"/>
      <c r="I431" s="663"/>
      <c r="J431" s="663"/>
      <c r="K431" s="663"/>
      <c r="L431" s="1022"/>
      <c r="M431" s="663"/>
      <c r="N431" s="663"/>
      <c r="O431" s="663"/>
      <c r="P431" s="663"/>
      <c r="Q431" s="1022"/>
      <c r="R431" s="663"/>
      <c r="S431" s="663"/>
      <c r="T431" s="663"/>
      <c r="U431" s="663"/>
      <c r="V431" s="1022"/>
      <c r="W431" s="663"/>
      <c r="X431" s="663"/>
      <c r="Y431" s="663"/>
      <c r="Z431" s="663"/>
      <c r="AA431" s="1022"/>
      <c r="AB431" s="663"/>
      <c r="AC431" s="663"/>
      <c r="AD431" s="663"/>
      <c r="AE431" s="663"/>
      <c r="AF431" s="1022"/>
      <c r="AG431" s="663"/>
      <c r="AH431" s="663"/>
      <c r="AI431" s="663"/>
      <c r="AJ431" s="663"/>
      <c r="AK431" s="1022"/>
      <c r="AL431" s="663"/>
      <c r="AM431" s="663"/>
      <c r="AN431" s="663"/>
      <c r="AO431" s="663"/>
      <c r="AP431" s="1022"/>
      <c r="AQ431" s="663"/>
      <c r="AR431" s="663"/>
      <c r="AS431" s="663"/>
      <c r="AT431" s="663"/>
      <c r="AU431" s="1022"/>
      <c r="AV431" s="663"/>
      <c r="AW431" s="663"/>
      <c r="AX431" s="663"/>
      <c r="AY431" s="663"/>
      <c r="AZ431" s="1022"/>
      <c r="BA431" s="663"/>
      <c r="BB431" s="663"/>
      <c r="BC431" s="663"/>
      <c r="BD431" s="663"/>
      <c r="BE431" s="1022"/>
      <c r="BF431" s="663"/>
      <c r="BG431" s="663"/>
      <c r="BH431" s="759"/>
      <c r="BI431" s="915">
        <v>0</v>
      </c>
      <c r="BJ431" s="1022"/>
      <c r="BK431" s="915">
        <v>0</v>
      </c>
      <c r="BL431" s="915">
        <v>0</v>
      </c>
      <c r="BM431" s="915">
        <v>0</v>
      </c>
      <c r="BN431" s="915">
        <v>0</v>
      </c>
      <c r="BO431" s="1022"/>
      <c r="BP431" s="1022"/>
      <c r="BQ431" s="1022"/>
      <c r="BR431" s="1022"/>
      <c r="BS431" s="833"/>
    </row>
    <row r="432" spans="1:71" s="24" customFormat="1" ht="15" customHeight="1" hidden="1" outlineLevel="1">
      <c r="A432" s="660" t="s">
        <v>603</v>
      </c>
      <c r="B432" s="837"/>
      <c r="C432" s="1022"/>
      <c r="D432" s="1022"/>
      <c r="E432" s="1022"/>
      <c r="F432" s="1022"/>
      <c r="G432" s="1022"/>
      <c r="H432" s="663"/>
      <c r="I432" s="663"/>
      <c r="J432" s="663"/>
      <c r="K432" s="663"/>
      <c r="L432" s="1022"/>
      <c r="M432" s="663"/>
      <c r="N432" s="663"/>
      <c r="O432" s="663"/>
      <c r="P432" s="663"/>
      <c r="Q432" s="1022"/>
      <c r="R432" s="663"/>
      <c r="S432" s="663"/>
      <c r="T432" s="663"/>
      <c r="U432" s="663"/>
      <c r="V432" s="1022"/>
      <c r="W432" s="663"/>
      <c r="X432" s="663"/>
      <c r="Y432" s="663"/>
      <c r="Z432" s="663"/>
      <c r="AA432" s="1022"/>
      <c r="AB432" s="663"/>
      <c r="AC432" s="663"/>
      <c r="AD432" s="663"/>
      <c r="AE432" s="663"/>
      <c r="AF432" s="1022"/>
      <c r="AG432" s="663"/>
      <c r="AH432" s="663"/>
      <c r="AI432" s="663"/>
      <c r="AJ432" s="663"/>
      <c r="AK432" s="1022"/>
      <c r="AL432" s="663"/>
      <c r="AM432" s="663"/>
      <c r="AN432" s="663"/>
      <c r="AO432" s="663"/>
      <c r="AP432" s="1022"/>
      <c r="AQ432" s="663"/>
      <c r="AR432" s="663"/>
      <c r="AS432" s="663"/>
      <c r="AT432" s="663"/>
      <c r="AU432" s="1022"/>
      <c r="AV432" s="663"/>
      <c r="AW432" s="663"/>
      <c r="AX432" s="663"/>
      <c r="AY432" s="663"/>
      <c r="AZ432" s="1022"/>
      <c r="BA432" s="663"/>
      <c r="BB432" s="663"/>
      <c r="BC432" s="663"/>
      <c r="BD432" s="663"/>
      <c r="BE432" s="1022"/>
      <c r="BF432" s="663"/>
      <c r="BG432" s="663"/>
      <c r="BH432" s="759"/>
      <c r="BI432" s="663"/>
      <c r="BJ432" s="1022"/>
      <c r="BK432" s="663"/>
      <c r="BL432" s="663"/>
      <c r="BM432" s="663"/>
      <c r="BN432" s="663"/>
      <c r="BO432" s="1022"/>
      <c r="BP432" s="1025">
        <v>0</v>
      </c>
      <c r="BQ432" s="1025">
        <v>0</v>
      </c>
      <c r="BR432" s="1025">
        <v>0</v>
      </c>
      <c r="BS432" s="833"/>
    </row>
    <row r="433" spans="1:71" s="24" customFormat="1" ht="15" customHeight="1" hidden="1" outlineLevel="2">
      <c r="A433" s="660" t="s">
        <v>604</v>
      </c>
      <c r="B433" s="837"/>
      <c r="C433" s="1022"/>
      <c r="D433" s="1022"/>
      <c r="E433" s="1022"/>
      <c r="F433" s="1022"/>
      <c r="G433" s="1022"/>
      <c r="H433" s="663"/>
      <c r="I433" s="663"/>
      <c r="J433" s="663"/>
      <c r="K433" s="663"/>
      <c r="L433" s="1022"/>
      <c r="M433" s="663"/>
      <c r="N433" s="663"/>
      <c r="O433" s="663"/>
      <c r="P433" s="663"/>
      <c r="Q433" s="1022"/>
      <c r="R433" s="663"/>
      <c r="S433" s="663"/>
      <c r="T433" s="663"/>
      <c r="U433" s="663"/>
      <c r="V433" s="1022"/>
      <c r="W433" s="663"/>
      <c r="X433" s="663"/>
      <c r="Y433" s="663"/>
      <c r="Z433" s="663"/>
      <c r="AA433" s="1022"/>
      <c r="AB433" s="663"/>
      <c r="AC433" s="663"/>
      <c r="AD433" s="663"/>
      <c r="AE433" s="663"/>
      <c r="AF433" s="1022"/>
      <c r="AG433" s="663"/>
      <c r="AH433" s="663"/>
      <c r="AI433" s="663"/>
      <c r="AJ433" s="663"/>
      <c r="AK433" s="1022"/>
      <c r="AL433" s="663"/>
      <c r="AM433" s="663"/>
      <c r="AN433" s="663"/>
      <c r="AO433" s="663"/>
      <c r="AP433" s="1022"/>
      <c r="AQ433" s="663"/>
      <c r="AR433" s="663"/>
      <c r="AS433" s="663"/>
      <c r="AT433" s="663"/>
      <c r="AU433" s="1022"/>
      <c r="AV433" s="663"/>
      <c r="AW433" s="663"/>
      <c r="AX433" s="663"/>
      <c r="AY433" s="663"/>
      <c r="AZ433" s="1022"/>
      <c r="BA433" s="663"/>
      <c r="BB433" s="663"/>
      <c r="BC433" s="663"/>
      <c r="BD433" s="663"/>
      <c r="BE433" s="1022"/>
      <c r="BF433" s="663"/>
      <c r="BG433" s="663"/>
      <c r="BH433" s="759"/>
      <c r="BI433" s="663">
        <f ca="1">BI491/(BI492/BI512)/BH430</f>
        <v>0</v>
      </c>
      <c r="BJ433" s="1022"/>
      <c r="BK433" s="663">
        <f ca="1">BK491/(BK492/BK512)/BI430</f>
        <v>0</v>
      </c>
      <c r="BL433" s="663">
        <f ca="1">BL491/(BL492/BL512)/BK430</f>
        <v>0</v>
      </c>
      <c r="BM433" s="663">
        <f ca="1">BM491/(BM492/BM512)/BL430</f>
        <v>0</v>
      </c>
      <c r="BN433" s="663">
        <f ca="1">BN491/(BN492/BN512)/BM430</f>
        <v>0</v>
      </c>
      <c r="BO433" s="1022"/>
      <c r="BP433" s="1022"/>
      <c r="BQ433" s="1022"/>
      <c r="BR433" s="1022"/>
      <c r="BS433" s="833"/>
    </row>
    <row r="434" spans="1:71" s="24" customFormat="1" ht="15" customHeight="1" hidden="1" outlineLevel="2">
      <c r="A434" s="667" t="s">
        <v>605</v>
      </c>
      <c r="B434" s="668"/>
      <c r="C434" s="1069"/>
      <c r="D434" s="1069"/>
      <c r="E434" s="1069"/>
      <c r="F434" s="1069"/>
      <c r="G434" s="1069"/>
      <c r="H434" s="669"/>
      <c r="I434" s="669"/>
      <c r="J434" s="669"/>
      <c r="K434" s="669"/>
      <c r="L434" s="1069"/>
      <c r="M434" s="669"/>
      <c r="N434" s="669"/>
      <c r="O434" s="669"/>
      <c r="P434" s="669"/>
      <c r="Q434" s="1069"/>
      <c r="R434" s="669"/>
      <c r="S434" s="669"/>
      <c r="T434" s="669"/>
      <c r="U434" s="669"/>
      <c r="V434" s="1069"/>
      <c r="W434" s="669"/>
      <c r="X434" s="669"/>
      <c r="Y434" s="669"/>
      <c r="Z434" s="669"/>
      <c r="AA434" s="1069"/>
      <c r="AB434" s="669"/>
      <c r="AC434" s="669"/>
      <c r="AD434" s="669"/>
      <c r="AE434" s="669"/>
      <c r="AF434" s="1069"/>
      <c r="AG434" s="669"/>
      <c r="AH434" s="669"/>
      <c r="AI434" s="669"/>
      <c r="AJ434" s="669"/>
      <c r="AK434" s="1069"/>
      <c r="AL434" s="669"/>
      <c r="AM434" s="669"/>
      <c r="AN434" s="669"/>
      <c r="AO434" s="669"/>
      <c r="AP434" s="1069"/>
      <c r="AQ434" s="669"/>
      <c r="AR434" s="669"/>
      <c r="AS434" s="669"/>
      <c r="AT434" s="669"/>
      <c r="AU434" s="1069"/>
      <c r="AV434" s="669"/>
      <c r="AW434" s="669"/>
      <c r="AX434" s="669"/>
      <c r="AY434" s="669"/>
      <c r="AZ434" s="1069"/>
      <c r="BA434" s="669"/>
      <c r="BB434" s="669"/>
      <c r="BC434" s="669"/>
      <c r="BD434" s="669"/>
      <c r="BE434" s="1069"/>
      <c r="BF434" s="669"/>
      <c r="BG434" s="669"/>
      <c r="BH434" s="770"/>
      <c r="BI434" s="669"/>
      <c r="BJ434" s="1069">
        <f ca="1">BJ491/(BJ492/BJ512)/BE430</f>
        <v>-0.011072519593310322</v>
      </c>
      <c r="BK434" s="669"/>
      <c r="BL434" s="669"/>
      <c r="BM434" s="669"/>
      <c r="BN434" s="669"/>
      <c r="BO434" s="1069">
        <f ca="1">BO491/(BO492/BO512)/BJ430</f>
        <v>0</v>
      </c>
      <c r="BP434" s="1069">
        <f ca="1">BP491/(BP492/BP512)/BO430</f>
        <v>0</v>
      </c>
      <c r="BQ434" s="1069">
        <f ca="1">BQ491/(BQ492/BQ512)/BP430</f>
        <v>0</v>
      </c>
      <c r="BR434" s="1069">
        <f ca="1">BR491/(BR492/BR512)/BQ430</f>
        <v>0</v>
      </c>
      <c r="BS434" s="833"/>
    </row>
    <row r="435" spans="1:71" s="24" customFormat="1" ht="15" customHeight="1" hidden="1" outlineLevel="1">
      <c r="A435" s="671" t="s">
        <v>606</v>
      </c>
      <c r="B435" s="837"/>
      <c r="C435" s="1022"/>
      <c r="D435" s="1022"/>
      <c r="E435" s="1022"/>
      <c r="F435" s="1022"/>
      <c r="G435" s="1022"/>
      <c r="H435" s="662">
        <f>H430/G430-1</f>
        <v>-0.016973125884017004</v>
      </c>
      <c r="I435" s="662">
        <f>I430/H430-1</f>
        <v>-0.024460431654676262</v>
      </c>
      <c r="J435" s="662">
        <f>J430/I430-1</f>
        <v>-0.022418879056047225</v>
      </c>
      <c r="K435" s="662">
        <f>K430/J430-1</f>
        <v>-0.027761013880506891</v>
      </c>
      <c r="L435" s="1022"/>
      <c r="M435" s="662">
        <f>M430/K430-1</f>
        <v>-0.010862818125387919</v>
      </c>
      <c r="N435" s="662">
        <f>N430/M430-1</f>
        <v>-0.023533103231879515</v>
      </c>
      <c r="O435" s="662">
        <f>O430/N430-1</f>
        <v>-0.022493573264781519</v>
      </c>
      <c r="P435" s="662">
        <f>P430/O430-1</f>
        <v>-0.027284681130835042</v>
      </c>
      <c r="Q435" s="1022"/>
      <c r="R435" s="662">
        <f>R430/P430-1</f>
        <v>-0.01182832037850623</v>
      </c>
      <c r="S435" s="662">
        <f>S430/R430-1</f>
        <v>-0.014021887824897328</v>
      </c>
      <c r="T435" s="662">
        <f>T430/S430-1</f>
        <v>-0.014568158168574374</v>
      </c>
      <c r="U435" s="662">
        <f>U430/T430-1</f>
        <v>-0.015839493136219684</v>
      </c>
      <c r="V435" s="1022"/>
      <c r="W435" s="662">
        <f>W430/U430-1</f>
        <v>-0.00071530758226057145</v>
      </c>
      <c r="X435" s="662">
        <f>X430/W430-1</f>
        <v>-0.012526843235504681</v>
      </c>
      <c r="Y435" s="662">
        <f>Y430/X430-1</f>
        <v>-0.007973903588256559</v>
      </c>
      <c r="Z435" s="662">
        <f>Z430/Y430-1</f>
        <v>-0.0084033613445378963</v>
      </c>
      <c r="AA435" s="1022"/>
      <c r="AB435" s="662">
        <f>AB430/Z430-1</f>
        <v>-0.0044215180545320587</v>
      </c>
      <c r="AC435" s="662">
        <f>AC430/AB430-1</f>
        <v>-0.0092524056254625897</v>
      </c>
      <c r="AD435" s="662">
        <f>AD430/AC430-1</f>
        <v>-0.010833022039596463</v>
      </c>
      <c r="AE435" s="662">
        <f>AE430/AD430-1</f>
        <v>-0.0045317220543805714</v>
      </c>
      <c r="AF435" s="1022"/>
      <c r="AG435" s="662">
        <f>AG430/AE430-1</f>
        <v>-0.0064491654021245903</v>
      </c>
      <c r="AH435" s="662">
        <f>AH430/AG430-1</f>
        <v>-0.0061092019854904756</v>
      </c>
      <c r="AI435" s="662">
        <f>AI430/AH430-1</f>
        <v>-0.008451786400307304</v>
      </c>
      <c r="AJ435" s="662">
        <f>AJ430/AI430-1</f>
        <v>-0.010073614877954329</v>
      </c>
      <c r="AK435" s="1022"/>
      <c r="AL435" s="662">
        <f>AL430/AJ430-1</f>
        <v>-0.010567514677103707</v>
      </c>
      <c r="AM435" s="662">
        <f>AM430/AL430-1</f>
        <v>0.0015822784810126667</v>
      </c>
      <c r="AN435" s="662">
        <f>AN430/AM430-1</f>
        <v>0.0003949447077409296</v>
      </c>
      <c r="AO435" s="662">
        <f>AO430/AN430-1</f>
        <v>-0.0035530990919857564</v>
      </c>
      <c r="AP435" s="1022"/>
      <c r="AQ435" s="662">
        <f>AQ430/AO430-1</f>
        <v>-0.0035657686212361428</v>
      </c>
      <c r="AR435" s="662">
        <f>AR430/AQ430-1</f>
        <v>-0.0079522862823061535</v>
      </c>
      <c r="AS435" s="662">
        <f>AS430/AR430-1</f>
        <v>-0.014028056112224463</v>
      </c>
      <c r="AT435" s="662">
        <f>AT430/AS430-1</f>
        <v>-0.019512195121951237</v>
      </c>
      <c r="AU435" s="1022"/>
      <c r="AV435" s="662">
        <f>AV430/AT430-1</f>
        <v>-0.0049751243781094301</v>
      </c>
      <c r="AW435" s="662">
        <f>AW430/AV430-1</f>
        <v>-0.011249999999999982</v>
      </c>
      <c r="AX435" s="662">
        <f>AX430/AW430-1</f>
        <v>-0.012642225031605614</v>
      </c>
      <c r="AY435" s="662">
        <f>AY430/AX430-1</f>
        <v>-0.0093896713615023719</v>
      </c>
      <c r="AZ435" s="1022"/>
      <c r="BA435" s="662">
        <f>BA430/AY430-1</f>
        <v>-0.0047393364928909332</v>
      </c>
      <c r="BB435" s="662">
        <f>BB430/BA430-1</f>
        <v>-0.0090909090909090384</v>
      </c>
      <c r="BC435" s="662">
        <f>BC430/BB430-1</f>
        <v>-0.0021843599825250859</v>
      </c>
      <c r="BD435" s="662">
        <f>BD430/BC430-1</f>
        <v>-0.0008756567425569628</v>
      </c>
      <c r="BE435" s="1022"/>
      <c r="BF435" s="662">
        <f>BF430/BD430-1</f>
        <v>0.0035056967572304476</v>
      </c>
      <c r="BG435" s="662">
        <f>BG430/BF430-1</f>
        <v>-0.0048034934497815929</v>
      </c>
      <c r="BH435" s="760">
        <f>BH430/BG430-1</f>
        <v>-0.0039491004826678333</v>
      </c>
      <c r="BI435" s="663">
        <f ca="1">BI430/BH430-1</f>
        <v>0</v>
      </c>
      <c r="BJ435" s="1022"/>
      <c r="BK435" s="663">
        <f ca="1">BK430/BI430-1</f>
        <v>0</v>
      </c>
      <c r="BL435" s="663">
        <f ca="1">BL430/BK430-1</f>
        <v>0</v>
      </c>
      <c r="BM435" s="663">
        <f ca="1">BM430/BL430-1</f>
        <v>0</v>
      </c>
      <c r="BN435" s="663">
        <f ca="1">BN430/BM430-1</f>
        <v>0</v>
      </c>
      <c r="BO435" s="1022"/>
      <c r="BP435" s="1022"/>
      <c r="BQ435" s="1022"/>
      <c r="BR435" s="1022"/>
      <c r="BS435" s="833"/>
    </row>
    <row r="436" spans="1:71" s="24" customFormat="1" ht="15" customHeight="1" hidden="1" outlineLevel="1">
      <c r="A436" s="671" t="s">
        <v>607</v>
      </c>
      <c r="B436" s="837"/>
      <c r="C436" s="1022"/>
      <c r="D436" s="1024">
        <f>D430/C430-1</f>
        <v>-0.16471266576974808</v>
      </c>
      <c r="E436" s="1024">
        <f>E430/D430-1</f>
        <v>-0.096180395766221838</v>
      </c>
      <c r="F436" s="1024">
        <f>F430/E430-1</f>
        <v>-0.039205702647657881</v>
      </c>
      <c r="G436" s="1024">
        <f>G430/F430-1</f>
        <v>-0.063328033916269177</v>
      </c>
      <c r="H436" s="663"/>
      <c r="I436" s="663"/>
      <c r="J436" s="663"/>
      <c r="K436" s="663"/>
      <c r="L436" s="1024">
        <f t="shared" si="884" ref="L436:AQ436">L430/G430-1</f>
        <v>-0.088543140028288558</v>
      </c>
      <c r="M436" s="662">
        <f t="shared" si="884"/>
        <v>-0.082877697841726605</v>
      </c>
      <c r="N436" s="662">
        <f t="shared" si="884"/>
        <v>-0.082005899705014818</v>
      </c>
      <c r="O436" s="662">
        <f t="shared" si="884"/>
        <v>-0.082076041038020464</v>
      </c>
      <c r="P436" s="662">
        <f t="shared" si="884"/>
        <v>-0.081626319056486651</v>
      </c>
      <c r="Q436" s="1024">
        <f t="shared" si="884"/>
        <v>-0.081626319056486651</v>
      </c>
      <c r="R436" s="662">
        <f t="shared" si="884"/>
        <v>-0.082522748666457479</v>
      </c>
      <c r="S436" s="662">
        <f t="shared" si="884"/>
        <v>-0.073586118251927957</v>
      </c>
      <c r="T436" s="662">
        <f t="shared" si="884"/>
        <v>-0.066074950690335199</v>
      </c>
      <c r="U436" s="662">
        <f t="shared" si="884"/>
        <v>-0.055086177762757593</v>
      </c>
      <c r="V436" s="1024">
        <f t="shared" si="884"/>
        <v>-0.055086177762757593</v>
      </c>
      <c r="W436" s="662">
        <f t="shared" si="884"/>
        <v>-0.044459644322845437</v>
      </c>
      <c r="X436" s="662">
        <f t="shared" si="884"/>
        <v>-0.043010752688172116</v>
      </c>
      <c r="Y436" s="662">
        <f t="shared" si="884"/>
        <v>-0.036606828581485562</v>
      </c>
      <c r="Z436" s="662">
        <f t="shared" si="884"/>
        <v>-0.029327610872675436</v>
      </c>
      <c r="AA436" s="1024">
        <f t="shared" si="884"/>
        <v>-0.029327610872675436</v>
      </c>
      <c r="AB436" s="662">
        <f t="shared" si="884"/>
        <v>-0.032927702219040733</v>
      </c>
      <c r="AC436" s="662">
        <f t="shared" si="884"/>
        <v>-0.029720913374410962</v>
      </c>
      <c r="AD436" s="662">
        <f t="shared" si="884"/>
        <v>-0.032517354767994111</v>
      </c>
      <c r="AE436" s="662">
        <f t="shared" si="884"/>
        <v>-0.028739867354458215</v>
      </c>
      <c r="AF436" s="1024">
        <f t="shared" si="884"/>
        <v>-0.028739867354458215</v>
      </c>
      <c r="AG436" s="662">
        <f t="shared" si="884"/>
        <v>-0.030717986676535913</v>
      </c>
      <c r="AH436" s="662">
        <f t="shared" si="884"/>
        <v>-0.027642883825177322</v>
      </c>
      <c r="AI436" s="662">
        <f t="shared" si="884"/>
        <v>-0.02530211480362532</v>
      </c>
      <c r="AJ436" s="662">
        <f t="shared" si="884"/>
        <v>-0.03072837632776948</v>
      </c>
      <c r="AK436" s="1024">
        <f t="shared" si="884"/>
        <v>-0.03072837632776948</v>
      </c>
      <c r="AL436" s="662">
        <f t="shared" si="884"/>
        <v>-0.034746086292477885</v>
      </c>
      <c r="AM436" s="662">
        <f t="shared" si="884"/>
        <v>-0.027276219746446451</v>
      </c>
      <c r="AN436" s="662">
        <f t="shared" si="884"/>
        <v>-0.018597442851607915</v>
      </c>
      <c r="AO436" s="662">
        <f t="shared" si="884"/>
        <v>-0.012133072407044976</v>
      </c>
      <c r="AP436" s="1024">
        <f t="shared" si="884"/>
        <v>-0.012133072407044976</v>
      </c>
      <c r="AQ436" s="662">
        <f t="shared" si="884"/>
        <v>-0.0051424050632912222</v>
      </c>
      <c r="AR436" s="662">
        <f t="shared" si="885" ref="AR436:BJ436">AR430/AM430-1</f>
        <v>-0.01461295418641384</v>
      </c>
      <c r="AS436" s="662">
        <f t="shared" si="885"/>
        <v>-0.028819581523884752</v>
      </c>
      <c r="AT436" s="662">
        <f t="shared" si="885"/>
        <v>-0.044374009508716394</v>
      </c>
      <c r="AU436" s="1024">
        <f t="shared" si="885"/>
        <v>-0.044374009508716394</v>
      </c>
      <c r="AV436" s="662">
        <f t="shared" si="885"/>
        <v>-0.045725646123260466</v>
      </c>
      <c r="AW436" s="662">
        <f t="shared" si="885"/>
        <v>-0.048897795591182347</v>
      </c>
      <c r="AX436" s="662">
        <f t="shared" si="885"/>
        <v>-0.047560975609756029</v>
      </c>
      <c r="AY436" s="662">
        <f t="shared" si="885"/>
        <v>-0.03772802653399665</v>
      </c>
      <c r="AZ436" s="1024">
        <f t="shared" si="885"/>
        <v>-0.03772802653399665</v>
      </c>
      <c r="BA436" s="662">
        <f t="shared" si="885"/>
        <v>-0.037499999999999978</v>
      </c>
      <c r="BB436" s="662">
        <f t="shared" si="885"/>
        <v>-0.03539823008849563</v>
      </c>
      <c r="BC436" s="662">
        <f t="shared" si="885"/>
        <v>-0.025181391378574447</v>
      </c>
      <c r="BD436" s="662">
        <f t="shared" si="886" ref="BD436:BI436">BD430/AY430-1</f>
        <v>-0.016803102111158985</v>
      </c>
      <c r="BE436" s="1024">
        <f t="shared" si="886"/>
        <v>-0.016803102111158985</v>
      </c>
      <c r="BF436" s="662">
        <f>BF430/BA430-1</f>
        <v>-0.0086580086580086979</v>
      </c>
      <c r="BG436" s="662">
        <f>BG430/BB430-1</f>
        <v>-0.0043687199650502828</v>
      </c>
      <c r="BH436" s="760">
        <f>BH430/BC430-1</f>
        <v>-0.0061295971978984065</v>
      </c>
      <c r="BI436" s="663">
        <f t="shared" ca="1" si="886"/>
        <v>-0.0052585451358456714</v>
      </c>
      <c r="BJ436" s="1022">
        <f t="shared" ca="1" si="885"/>
        <v>-0.0052585451358456714</v>
      </c>
      <c r="BK436" s="663">
        <f ca="1">BK430/BF430-1</f>
        <v>-0.008733624454148492</v>
      </c>
      <c r="BL436" s="663">
        <f ca="1">BL430/BG430-1</f>
        <v>-0.0039491004826678333</v>
      </c>
      <c r="BM436" s="663">
        <f ca="1">BM430/BH430-1</f>
        <v>0</v>
      </c>
      <c r="BN436" s="663">
        <f ca="1">BN430/BI430-1</f>
        <v>0</v>
      </c>
      <c r="BO436" s="1022">
        <f ca="1">BO430/BJ430-1</f>
        <v>0</v>
      </c>
      <c r="BP436" s="1022">
        <f ca="1">BP430/BO430-1</f>
        <v>0</v>
      </c>
      <c r="BQ436" s="1022">
        <f ca="1">BQ430/BP430-1</f>
        <v>0</v>
      </c>
      <c r="BR436" s="1022">
        <f ca="1">BR430/BQ430-1</f>
        <v>0</v>
      </c>
      <c r="BS436" s="833"/>
    </row>
    <row r="437" spans="1:71" s="24" customFormat="1" ht="15" customHeight="1" hidden="1" outlineLevel="1">
      <c r="A437" s="625"/>
      <c r="B437" s="462"/>
      <c r="C437" s="1011"/>
      <c r="D437" s="1011"/>
      <c r="E437" s="1011"/>
      <c r="F437" s="1011"/>
      <c r="G437" s="1011"/>
      <c r="H437" s="857"/>
      <c r="I437" s="857"/>
      <c r="J437" s="857"/>
      <c r="K437" s="857"/>
      <c r="L437" s="1011"/>
      <c r="M437" s="857"/>
      <c r="N437" s="857"/>
      <c r="O437" s="857"/>
      <c r="P437" s="857"/>
      <c r="Q437" s="1011"/>
      <c r="R437" s="857"/>
      <c r="S437" s="857"/>
      <c r="T437" s="857"/>
      <c r="U437" s="857"/>
      <c r="V437" s="1011"/>
      <c r="W437" s="857"/>
      <c r="X437" s="857"/>
      <c r="Y437" s="857"/>
      <c r="Z437" s="857"/>
      <c r="AA437" s="1011"/>
      <c r="AB437" s="857"/>
      <c r="AC437" s="857"/>
      <c r="AD437" s="857"/>
      <c r="AE437" s="857"/>
      <c r="AF437" s="1011"/>
      <c r="AG437" s="857"/>
      <c r="AH437" s="857"/>
      <c r="AI437" s="857"/>
      <c r="AJ437" s="857"/>
      <c r="AK437" s="1011"/>
      <c r="AL437" s="857"/>
      <c r="AM437" s="857"/>
      <c r="AN437" s="857"/>
      <c r="AO437" s="857"/>
      <c r="AP437" s="1011"/>
      <c r="AQ437" s="857"/>
      <c r="AR437" s="857"/>
      <c r="AS437" s="857"/>
      <c r="AT437" s="857"/>
      <c r="AU437" s="1011"/>
      <c r="AV437" s="857"/>
      <c r="AW437" s="857"/>
      <c r="AX437" s="857"/>
      <c r="AY437" s="857"/>
      <c r="AZ437" s="1011"/>
      <c r="BA437" s="857"/>
      <c r="BB437" s="857"/>
      <c r="BC437" s="857"/>
      <c r="BD437" s="857"/>
      <c r="BE437" s="1011"/>
      <c r="BF437" s="857"/>
      <c r="BG437" s="857"/>
      <c r="BH437" s="858"/>
      <c r="BI437" s="857"/>
      <c r="BJ437" s="1011"/>
      <c r="BK437" s="857"/>
      <c r="BL437" s="857"/>
      <c r="BM437" s="857"/>
      <c r="BN437" s="857"/>
      <c r="BO437" s="1011"/>
      <c r="BP437" s="1011"/>
      <c r="BQ437" s="1011"/>
      <c r="BR437" s="1011"/>
      <c r="BS437" s="833"/>
    </row>
    <row r="438" spans="1:71" s="24" customFormat="1" ht="15" customHeight="1" hidden="1" outlineLevel="1">
      <c r="A438" s="678" t="s">
        <v>611</v>
      </c>
      <c r="B438" s="462"/>
      <c r="C438" s="1067">
        <v>513.57412599999998</v>
      </c>
      <c r="D438" s="1067">
        <v>431.05250699999999</v>
      </c>
      <c r="E438" s="1067">
        <v>393.07214499999998</v>
      </c>
      <c r="F438" s="1067">
        <v>377.95468699999998</v>
      </c>
      <c r="G438" s="1067">
        <v>352.327135</v>
      </c>
      <c r="H438" s="952">
        <v>347.47162500000002</v>
      </c>
      <c r="I438" s="952">
        <v>339.04361</v>
      </c>
      <c r="J438" s="952">
        <v>331.396299</v>
      </c>
      <c r="K438" s="857">
        <f>L438</f>
        <v>321.36858000000001</v>
      </c>
      <c r="L438" s="1067">
        <v>321.36858000000001</v>
      </c>
      <c r="M438" s="952">
        <v>318.69831299999998</v>
      </c>
      <c r="N438" s="952">
        <v>311.205624</v>
      </c>
      <c r="O438" s="952">
        <v>304.218796</v>
      </c>
      <c r="P438" s="857">
        <f>Q438</f>
        <v>294.977349</v>
      </c>
      <c r="Q438" s="1067">
        <v>294.977349</v>
      </c>
      <c r="R438" s="952">
        <v>292.394631</v>
      </c>
      <c r="S438" s="952">
        <v>288.281317</v>
      </c>
      <c r="T438" s="952">
        <v>284.058764</v>
      </c>
      <c r="U438" s="857">
        <f>V438</f>
        <v>279.68548900000002</v>
      </c>
      <c r="V438" s="1067">
        <v>279.68548900000002</v>
      </c>
      <c r="W438" s="952">
        <v>279.41582899999997</v>
      </c>
      <c r="X438" s="952">
        <v>275.94703600000003</v>
      </c>
      <c r="Y438" s="952">
        <v>273.695876</v>
      </c>
      <c r="Z438" s="857">
        <f>AA438</f>
        <v>271.42795899999999</v>
      </c>
      <c r="AA438" s="1067">
        <v>271.42795899999999</v>
      </c>
      <c r="AB438" s="952">
        <v>270.26129600000002</v>
      </c>
      <c r="AC438" s="952">
        <v>267.68323099999998</v>
      </c>
      <c r="AD438" s="952">
        <v>264.88280400000002</v>
      </c>
      <c r="AE438" s="857">
        <f>AF438</f>
        <v>263.39103399999999</v>
      </c>
      <c r="AF438" s="1067">
        <v>263.39103399999999</v>
      </c>
      <c r="AG438" s="952">
        <v>261.90821</v>
      </c>
      <c r="AH438" s="952">
        <v>260.38572199999999</v>
      </c>
      <c r="AI438" s="952">
        <v>258.11277100000001</v>
      </c>
      <c r="AJ438" s="857">
        <f>AK438</f>
        <v>255.03090499999999</v>
      </c>
      <c r="AK438" s="1067">
        <v>255.03090499999999</v>
      </c>
      <c r="AL438" s="952">
        <v>252.83583300000001</v>
      </c>
      <c r="AM438" s="952">
        <v>253.19117399999999</v>
      </c>
      <c r="AN438" s="952">
        <v>253.308761</v>
      </c>
      <c r="AO438" s="857">
        <f>AP438</f>
        <v>252.21435500000001</v>
      </c>
      <c r="AP438" s="1067">
        <v>252.21435500000001</v>
      </c>
      <c r="AQ438" s="952">
        <v>251.46526700000001</v>
      </c>
      <c r="AR438" s="952">
        <v>249.49289999999999</v>
      </c>
      <c r="AS438" s="952">
        <v>246.00868700000001</v>
      </c>
      <c r="AT438" s="857">
        <f>AU438</f>
        <v>241.500732</v>
      </c>
      <c r="AU438" s="1067">
        <v>241.500732</v>
      </c>
      <c r="AV438" s="952">
        <v>239.96100200000001</v>
      </c>
      <c r="AW438" s="952">
        <v>237.313119</v>
      </c>
      <c r="AX438" s="952">
        <v>234.34752499999999</v>
      </c>
      <c r="AY438" s="857">
        <f>AZ438</f>
        <v>232.09427099999999</v>
      </c>
      <c r="AZ438" s="1067">
        <v>232.09427099999999</v>
      </c>
      <c r="BA438" s="952">
        <v>230.97656499999999</v>
      </c>
      <c r="BB438" s="952">
        <v>228.942328</v>
      </c>
      <c r="BC438" s="952">
        <v>228.39944600000001</v>
      </c>
      <c r="BD438" s="857">
        <f>BE438</f>
        <v>229.125844</v>
      </c>
      <c r="BE438" s="1067">
        <v>229.125844</v>
      </c>
      <c r="BF438" s="952">
        <v>228.993392</v>
      </c>
      <c r="BG438" s="952">
        <v>227.931434</v>
      </c>
      <c r="BH438" s="953">
        <v>227.01896300000001</v>
      </c>
      <c r="BI438" s="857"/>
      <c r="BJ438" s="1011"/>
      <c r="BK438" s="857"/>
      <c r="BL438" s="857"/>
      <c r="BM438" s="857"/>
      <c r="BN438" s="857"/>
      <c r="BO438" s="1011"/>
      <c r="BP438" s="1011"/>
      <c r="BQ438" s="1011"/>
      <c r="BR438" s="1011"/>
      <c r="BS438" s="833"/>
    </row>
    <row r="439" spans="1:71" s="24" customFormat="1" ht="15" customHeight="1" hidden="1" outlineLevel="1">
      <c r="A439" s="678" t="s">
        <v>612</v>
      </c>
      <c r="B439" s="462"/>
      <c r="C439" s="1070">
        <v>40220</v>
      </c>
      <c r="D439" s="1070">
        <v>40584</v>
      </c>
      <c r="E439" s="1070">
        <v>40949</v>
      </c>
      <c r="F439" s="1070">
        <v>41316</v>
      </c>
      <c r="G439" s="1070">
        <v>41677</v>
      </c>
      <c r="H439" s="955">
        <v>41747</v>
      </c>
      <c r="I439" s="955">
        <v>41838</v>
      </c>
      <c r="J439" s="955">
        <v>41929</v>
      </c>
      <c r="K439" s="624">
        <f>L439</f>
        <v>42041</v>
      </c>
      <c r="L439" s="1070">
        <v>42041</v>
      </c>
      <c r="M439" s="955">
        <v>42111</v>
      </c>
      <c r="N439" s="955">
        <v>42202</v>
      </c>
      <c r="O439" s="955">
        <v>42293</v>
      </c>
      <c r="P439" s="624">
        <f>Q439</f>
        <v>42405</v>
      </c>
      <c r="Q439" s="1070">
        <v>42405</v>
      </c>
      <c r="R439" s="955">
        <v>42478</v>
      </c>
      <c r="S439" s="955">
        <v>42569</v>
      </c>
      <c r="T439" s="955">
        <v>42660</v>
      </c>
      <c r="U439" s="624">
        <f>V439</f>
        <v>42776</v>
      </c>
      <c r="V439" s="1070">
        <v>42776</v>
      </c>
      <c r="W439" s="955">
        <v>42842</v>
      </c>
      <c r="X439" s="955">
        <v>42933</v>
      </c>
      <c r="Y439" s="955">
        <v>43024</v>
      </c>
      <c r="Z439" s="624">
        <f>AA439</f>
        <v>43140</v>
      </c>
      <c r="AA439" s="1070">
        <v>43140</v>
      </c>
      <c r="AB439" s="955">
        <v>43209</v>
      </c>
      <c r="AC439" s="955">
        <v>43297</v>
      </c>
      <c r="AD439" s="955">
        <v>43388</v>
      </c>
      <c r="AE439" s="624">
        <f>AF439</f>
        <v>43504</v>
      </c>
      <c r="AF439" s="1070">
        <v>43504</v>
      </c>
      <c r="AG439" s="955">
        <v>43570</v>
      </c>
      <c r="AH439" s="955">
        <v>43665</v>
      </c>
      <c r="AI439" s="955">
        <v>43756</v>
      </c>
      <c r="AJ439" s="624">
        <f>AK439</f>
        <v>43868</v>
      </c>
      <c r="AK439" s="1070">
        <v>43868</v>
      </c>
      <c r="AL439" s="955">
        <v>43938</v>
      </c>
      <c r="AM439" s="955">
        <v>44032</v>
      </c>
      <c r="AN439" s="955">
        <v>44120</v>
      </c>
      <c r="AO439" s="624">
        <f>AP439</f>
        <v>44232</v>
      </c>
      <c r="AP439" s="1070">
        <v>44232</v>
      </c>
      <c r="AQ439" s="955">
        <v>44301</v>
      </c>
      <c r="AR439" s="955">
        <v>44392</v>
      </c>
      <c r="AS439" s="955">
        <v>44483</v>
      </c>
      <c r="AT439" s="624">
        <f>AU439</f>
        <v>44606</v>
      </c>
      <c r="AU439" s="1070">
        <v>44606</v>
      </c>
      <c r="AV439" s="955">
        <v>44665</v>
      </c>
      <c r="AW439" s="955">
        <v>44760</v>
      </c>
      <c r="AX439" s="955">
        <v>44848</v>
      </c>
      <c r="AY439" s="624">
        <f>AZ439</f>
        <v>44970</v>
      </c>
      <c r="AZ439" s="1070">
        <v>44970</v>
      </c>
      <c r="BA439" s="955">
        <v>45030</v>
      </c>
      <c r="BB439" s="955">
        <v>45124</v>
      </c>
      <c r="BC439" s="955">
        <v>45212</v>
      </c>
      <c r="BD439" s="624">
        <f>BE439</f>
        <v>45334</v>
      </c>
      <c r="BE439" s="1070">
        <v>45334</v>
      </c>
      <c r="BF439" s="955">
        <v>45393</v>
      </c>
      <c r="BG439" s="955">
        <v>45488</v>
      </c>
      <c r="BH439" s="956">
        <v>45579</v>
      </c>
      <c r="BI439" s="624"/>
      <c r="BJ439" s="1071"/>
      <c r="BK439" s="624"/>
      <c r="BL439" s="624"/>
      <c r="BM439" s="624"/>
      <c r="BN439" s="624"/>
      <c r="BO439" s="1071"/>
      <c r="BP439" s="1071"/>
      <c r="BQ439" s="1071"/>
      <c r="BR439" s="1071"/>
      <c r="BS439" s="833"/>
    </row>
    <row r="440" spans="1:71" s="24" customFormat="1" ht="15" customHeight="1" hidden="1" outlineLevel="1">
      <c r="A440" s="625"/>
      <c r="B440" s="462"/>
      <c r="C440" s="1071"/>
      <c r="D440" s="1071"/>
      <c r="E440" s="1071"/>
      <c r="F440" s="1071"/>
      <c r="G440" s="1071"/>
      <c r="H440" s="624"/>
      <c r="I440" s="624"/>
      <c r="J440" s="624"/>
      <c r="K440" s="624"/>
      <c r="L440" s="1071"/>
      <c r="M440" s="624"/>
      <c r="N440" s="624"/>
      <c r="O440" s="624"/>
      <c r="P440" s="624"/>
      <c r="Q440" s="1071"/>
      <c r="R440" s="624"/>
      <c r="S440" s="624"/>
      <c r="T440" s="624"/>
      <c r="U440" s="624"/>
      <c r="V440" s="1071"/>
      <c r="W440" s="624"/>
      <c r="X440" s="624"/>
      <c r="Y440" s="624"/>
      <c r="Z440" s="624"/>
      <c r="AA440" s="1071"/>
      <c r="AB440" s="624"/>
      <c r="AC440" s="624"/>
      <c r="AD440" s="624"/>
      <c r="AE440" s="624"/>
      <c r="AF440" s="1071"/>
      <c r="AG440" s="624"/>
      <c r="AH440" s="624"/>
      <c r="AI440" s="624"/>
      <c r="AJ440" s="624"/>
      <c r="AK440" s="1071"/>
      <c r="AL440" s="624"/>
      <c r="AM440" s="624"/>
      <c r="AN440" s="624"/>
      <c r="AO440" s="624"/>
      <c r="AP440" s="1071"/>
      <c r="AQ440" s="624"/>
      <c r="AR440" s="624"/>
      <c r="AS440" s="624"/>
      <c r="AT440" s="624"/>
      <c r="AU440" s="1071"/>
      <c r="AV440" s="624"/>
      <c r="AW440" s="624"/>
      <c r="AX440" s="624"/>
      <c r="AY440" s="624"/>
      <c r="AZ440" s="1071"/>
      <c r="BA440" s="624"/>
      <c r="BB440" s="624"/>
      <c r="BC440" s="624"/>
      <c r="BD440" s="624"/>
      <c r="BE440" s="1071"/>
      <c r="BF440" s="624"/>
      <c r="BG440" s="624"/>
      <c r="BH440" s="771"/>
      <c r="BI440" s="624"/>
      <c r="BJ440" s="1071"/>
      <c r="BK440" s="624"/>
      <c r="BL440" s="624"/>
      <c r="BM440" s="624"/>
      <c r="BN440" s="624"/>
      <c r="BO440" s="1071"/>
      <c r="BP440" s="1071"/>
      <c r="BQ440" s="1071"/>
      <c r="BR440" s="1071"/>
      <c r="BS440" s="833"/>
    </row>
    <row r="441" spans="1:71" s="24" customFormat="1" ht="15" customHeight="1" hidden="1" outlineLevel="1">
      <c r="A441" s="625" t="s">
        <v>610</v>
      </c>
      <c r="B441" s="462"/>
      <c r="C441" s="1011">
        <f>C426-C425</f>
        <v>5.3999999999999773</v>
      </c>
      <c r="D441" s="1011">
        <f t="shared" si="887" ref="D441:K441">IF(D412&gt;0,(D426-D425),C441)</f>
        <v>6</v>
      </c>
      <c r="E441" s="1011">
        <f t="shared" si="887"/>
        <v>4.6999999999999886</v>
      </c>
      <c r="F441" s="1011">
        <f t="shared" si="887"/>
        <v>3.6000000000000227</v>
      </c>
      <c r="G441" s="1011">
        <f t="shared" si="887"/>
        <v>4</v>
      </c>
      <c r="H441" s="857">
        <f t="shared" si="887"/>
        <v>3.7000000000000455</v>
      </c>
      <c r="I441" s="857">
        <f t="shared" si="887"/>
        <v>3.6999999999999886</v>
      </c>
      <c r="J441" s="857">
        <f t="shared" si="887"/>
        <v>3.7999999999999545</v>
      </c>
      <c r="K441" s="857">
        <f t="shared" si="887"/>
        <v>4.1999999999999886</v>
      </c>
      <c r="L441" s="1011">
        <f>K441</f>
        <v>4.1999999999999886</v>
      </c>
      <c r="M441" s="857">
        <f>IF(M412&gt;0,(M426-M425),L441)</f>
        <v>3.6999999999999886</v>
      </c>
      <c r="N441" s="857">
        <f>IF(N412&gt;0,(N426-N425),M441)</f>
        <v>3.1999999999999886</v>
      </c>
      <c r="O441" s="857">
        <f>IF(O412&gt;0,(O426-O425),N441)</f>
        <v>3.3999999999999773</v>
      </c>
      <c r="P441" s="857">
        <f>IF(P412&gt;0,(P426-P425),O441)</f>
        <v>3.6000000000000227</v>
      </c>
      <c r="Q441" s="1011">
        <f>P441</f>
        <v>3.6000000000000227</v>
      </c>
      <c r="R441" s="857">
        <f>IF(R412&gt;0,(R426-R425),Q441)</f>
        <v>3.6999999999999886</v>
      </c>
      <c r="S441" s="857">
        <f>IF(S412&gt;0,(S426-S425),R441)</f>
        <v>3.50</v>
      </c>
      <c r="T441" s="857">
        <f>IF(T412&gt;0,(T426-T425),S441)</f>
        <v>3.8000000000000114</v>
      </c>
      <c r="U441" s="857">
        <f>IF(U412&gt;0,(U426-U425),T441)</f>
        <v>3</v>
      </c>
      <c r="V441" s="1011">
        <f>U441</f>
        <v>3</v>
      </c>
      <c r="W441" s="857">
        <f>IF(W412&gt;0,(W426-W425),V441)</f>
        <v>2.6999999999999886</v>
      </c>
      <c r="X441" s="857">
        <f>IF(X412&gt;0,(X426-X425),W441)</f>
        <v>2.50</v>
      </c>
      <c r="Y441" s="857">
        <f>IF(Y412&gt;0,(Y426-Y425),X441)</f>
        <v>2.50</v>
      </c>
      <c r="Z441" s="857">
        <f>IF(Z412&gt;0,(Z426-Z425),Y441)</f>
        <v>2.8999999999999773</v>
      </c>
      <c r="AA441" s="1011">
        <f>Z441</f>
        <v>2.8999999999999773</v>
      </c>
      <c r="AB441" s="857">
        <f>IF(AB412&gt;0,(AB426-AB425),AA441)</f>
        <v>2.8999999999999773</v>
      </c>
      <c r="AC441" s="857">
        <f>IF(AC412&gt;0,(AC426-AC425),AB441)</f>
        <v>2.4000000000000341</v>
      </c>
      <c r="AD441" s="857">
        <f>IF(AD412&gt;0,(AD426-AD425),AC441)</f>
        <v>2.2999999999999545</v>
      </c>
      <c r="AE441" s="857">
        <f>IF(AE412&gt;0,(AE426-AE425),AD441)</f>
        <v>2.1000000000000227</v>
      </c>
      <c r="AF441" s="1011">
        <f>AE441</f>
        <v>2.1000000000000227</v>
      </c>
      <c r="AG441" s="857">
        <f>IF(AG412&gt;0,(AG426-AG425),AF441)</f>
        <v>1.9000000000000341</v>
      </c>
      <c r="AH441" s="857">
        <f>IF(AH412&gt;0,(AH426-AH425),AG441)</f>
        <v>2.3999999999999773</v>
      </c>
      <c r="AI441" s="857">
        <f>IF(AI412&gt;0,(AI426-AI425),AH441)</f>
        <v>2.6000000000000227</v>
      </c>
      <c r="AJ441" s="857">
        <f>IF(AJ412&gt;0,(AJ426-AJ425),AI441)</f>
        <v>2.1999999999999886</v>
      </c>
      <c r="AK441" s="1011">
        <f>AJ441</f>
        <v>2.1999999999999886</v>
      </c>
      <c r="AL441" s="857">
        <f>IF(AL412&gt;0,(AL426-AL425),AK441)</f>
        <v>1.50</v>
      </c>
      <c r="AM441" s="857">
        <f>IF(AM412&gt;0,(AM426-AM425),AL441)</f>
        <v>1.50</v>
      </c>
      <c r="AN441" s="857">
        <f>IF(AN412&gt;0,(AN426-AN425),AM441)</f>
        <v>1</v>
      </c>
      <c r="AO441" s="857">
        <f>IF(AO412&gt;0,(AO426-AO425),AN441)</f>
        <v>1.4000000000000057</v>
      </c>
      <c r="AP441" s="1011">
        <f>AO441</f>
        <v>1.4000000000000057</v>
      </c>
      <c r="AQ441" s="857">
        <f>IF(AQ412&gt;0,(AQ426-AQ425),AP441)</f>
        <v>2</v>
      </c>
      <c r="AR441" s="857">
        <f>IF(AR412&gt;0,(AR426-AR425),AQ441)</f>
        <v>2.4000000000000057</v>
      </c>
      <c r="AS441" s="857">
        <f>IF(AS412&gt;0,(AS426-AS425),AR441)</f>
        <v>2.4000000000000057</v>
      </c>
      <c r="AT441" s="857">
        <f>IF(AT412&gt;0,(AT426-AT425),AS441)</f>
        <v>2.5999999999999943</v>
      </c>
      <c r="AU441" s="1011">
        <f>AT441</f>
        <v>2.5999999999999943</v>
      </c>
      <c r="AV441" s="857">
        <f>IF(AV412&gt;0,(AV426-AV425),AU441)</f>
        <v>2.7999999999999829</v>
      </c>
      <c r="AW441" s="857">
        <f>IF(AW412&gt;0,(AW426-AW425),AV441)</f>
        <v>2.6999999999999886</v>
      </c>
      <c r="AX441" s="857">
        <f>IF(AX412&gt;0,(AX426-AX425),AW441)</f>
        <v>2.50</v>
      </c>
      <c r="AY441" s="857">
        <f>IF(AY412&gt;0,(AY426-AY425),AX441)</f>
        <v>3.1000000000000227</v>
      </c>
      <c r="AZ441" s="1011">
        <f>AY441</f>
        <v>3.1000000000000227</v>
      </c>
      <c r="BA441" s="857">
        <f>IF(BA412&gt;0,(BA426-BA425),AZ441)</f>
        <v>2.7000000000000171</v>
      </c>
      <c r="BB441" s="857">
        <f>IF(BB412&gt;0,(BB426-BB425),BA441)</f>
        <v>2.7000000000000171</v>
      </c>
      <c r="BC441" s="857">
        <f>IF(BC412&gt;0,(BC426-BC425),BB441)</f>
        <v>2.2999999999999829</v>
      </c>
      <c r="BD441" s="857">
        <f>IF(BD412&gt;0,(BD426-BD425),BC441)</f>
        <v>2.6999999999999886</v>
      </c>
      <c r="BE441" s="1011">
        <f>BD441</f>
        <v>2.6999999999999886</v>
      </c>
      <c r="BF441" s="857">
        <f>IF(BF412&gt;0,(BF426-BF425),BE441)</f>
        <v>3</v>
      </c>
      <c r="BG441" s="857">
        <f>IF(BG412&gt;0,(BG426-BG425),BF441)</f>
        <v>2.9000000000000057</v>
      </c>
      <c r="BH441" s="858">
        <f>IF(BH412&gt;0,(BH426-BH425),BG441)</f>
        <v>3.1999999999999886</v>
      </c>
      <c r="BI441" s="857">
        <f ca="1">BI430*BI442-BI430</f>
        <v>2.2700000000000102</v>
      </c>
      <c r="BJ441" s="1011">
        <f ca="1">BI441</f>
        <v>2.2700000000000102</v>
      </c>
      <c r="BK441" s="857">
        <f ca="1">BK430*BK442-BK430</f>
        <v>2.2700000000000102</v>
      </c>
      <c r="BL441" s="857">
        <f ca="1">BL430*BL442-BL430</f>
        <v>2.2700000000000102</v>
      </c>
      <c r="BM441" s="857">
        <f ca="1">BM430*BM442-BM430</f>
        <v>2.2700000000000102</v>
      </c>
      <c r="BN441" s="857">
        <f ca="1">BN430*BN442-BN430</f>
        <v>2.2700000000000102</v>
      </c>
      <c r="BO441" s="1011">
        <f ca="1">BN441</f>
        <v>2.2700000000000102</v>
      </c>
      <c r="BP441" s="1011">
        <f ca="1">BP430*BP442-BP430</f>
        <v>2.2700000000000102</v>
      </c>
      <c r="BQ441" s="1011">
        <f ca="1">BQ430*BQ442-BQ430</f>
        <v>2.2700000000000102</v>
      </c>
      <c r="BR441" s="1011">
        <f ca="1">BR430*BR442-BR430</f>
        <v>2.2700000000000102</v>
      </c>
      <c r="BS441" s="833"/>
    </row>
    <row r="442" spans="1:71" s="24" customFormat="1" ht="15" customHeight="1" hidden="1" outlineLevel="1">
      <c r="A442" s="660" t="s">
        <v>608</v>
      </c>
      <c r="B442" s="837"/>
      <c r="C442" s="1072">
        <f t="shared" si="888" ref="C442:AH442">(C441+C430)/C430</f>
        <v>1.0103786277147799</v>
      </c>
      <c r="D442" s="1072">
        <f t="shared" si="888"/>
        <v>1.0138057984353428</v>
      </c>
      <c r="E442" s="1072">
        <f t="shared" si="888"/>
        <v>1.0119653767820773</v>
      </c>
      <c r="F442" s="1072">
        <f t="shared" si="888"/>
        <v>1.0095389507154213</v>
      </c>
      <c r="G442" s="1072">
        <f t="shared" si="888"/>
        <v>1.0113154172560113</v>
      </c>
      <c r="H442" s="673">
        <f t="shared" si="888"/>
        <v>1.0106474820143887</v>
      </c>
      <c r="I442" s="673">
        <f t="shared" si="888"/>
        <v>1.0109144542772861</v>
      </c>
      <c r="J442" s="673">
        <f t="shared" si="888"/>
        <v>1.0114665057332528</v>
      </c>
      <c r="K442" s="673">
        <f t="shared" si="888"/>
        <v>1.0130353817504656</v>
      </c>
      <c r="L442" s="1072">
        <f t="shared" si="888"/>
        <v>1.0130353817504656</v>
      </c>
      <c r="M442" s="673">
        <f t="shared" si="888"/>
        <v>1.0116096642610606</v>
      </c>
      <c r="N442" s="673">
        <f t="shared" si="888"/>
        <v>1.0102827763496143</v>
      </c>
      <c r="O442" s="673">
        <f t="shared" si="888"/>
        <v>1.0111768573307034</v>
      </c>
      <c r="P442" s="673">
        <f t="shared" si="888"/>
        <v>1.0121662723893208</v>
      </c>
      <c r="Q442" s="1072">
        <f t="shared" si="888"/>
        <v>1.0121662723893208</v>
      </c>
      <c r="R442" s="673">
        <f t="shared" si="888"/>
        <v>1.0126538987688098</v>
      </c>
      <c r="S442" s="673">
        <f t="shared" si="888"/>
        <v>1.0121401318071452</v>
      </c>
      <c r="T442" s="673">
        <f t="shared" si="888"/>
        <v>1.0133755719816966</v>
      </c>
      <c r="U442" s="673">
        <f t="shared" si="888"/>
        <v>1.0107296137339057</v>
      </c>
      <c r="V442" s="1072">
        <f t="shared" si="888"/>
        <v>1.0107296137339057</v>
      </c>
      <c r="W442" s="673">
        <f t="shared" si="888"/>
        <v>1.009663564781675</v>
      </c>
      <c r="X442" s="673">
        <f t="shared" si="888"/>
        <v>1.0090612540775643</v>
      </c>
      <c r="Y442" s="673">
        <f t="shared" si="888"/>
        <v>1.0091340884179758</v>
      </c>
      <c r="Z442" s="673">
        <f t="shared" si="888"/>
        <v>1.0106853352984524</v>
      </c>
      <c r="AA442" s="1072">
        <f t="shared" si="888"/>
        <v>1.0106853352984524</v>
      </c>
      <c r="AB442" s="673">
        <f t="shared" si="888"/>
        <v>1.0107327905255366</v>
      </c>
      <c r="AC442" s="673">
        <f t="shared" si="888"/>
        <v>1.0089652596189767</v>
      </c>
      <c r="AD442" s="673">
        <f t="shared" si="888"/>
        <v>1.0086858006042294</v>
      </c>
      <c r="AE442" s="673">
        <f t="shared" si="888"/>
        <v>1.0079666160849774</v>
      </c>
      <c r="AF442" s="1072">
        <f t="shared" si="888"/>
        <v>1.0079666160849774</v>
      </c>
      <c r="AG442" s="673">
        <f t="shared" si="888"/>
        <v>1.0072546773577702</v>
      </c>
      <c r="AH442" s="673">
        <f t="shared" si="888"/>
        <v>1.0092201306185169</v>
      </c>
      <c r="AI442" s="673">
        <f t="shared" si="889" ref="AI442:BC442">(AI441+AI430)/AI430</f>
        <v>1.0100736148779543</v>
      </c>
      <c r="AJ442" s="673">
        <f t="shared" si="889"/>
        <v>1.008610567514677</v>
      </c>
      <c r="AK442" s="1072">
        <f t="shared" si="889"/>
        <v>1.008610567514677</v>
      </c>
      <c r="AL442" s="673">
        <f t="shared" si="889"/>
        <v>1.0059335443037976</v>
      </c>
      <c r="AM442" s="673">
        <f t="shared" si="889"/>
        <v>1.0059241706161137</v>
      </c>
      <c r="AN442" s="673">
        <f t="shared" si="889"/>
        <v>1.0039478878799841</v>
      </c>
      <c r="AO442" s="673">
        <f t="shared" si="889"/>
        <v>1.0055467511885896</v>
      </c>
      <c r="AP442" s="1072">
        <f t="shared" si="889"/>
        <v>1.0055467511885896</v>
      </c>
      <c r="AQ442" s="673">
        <f t="shared" si="889"/>
        <v>1.0079522862823063</v>
      </c>
      <c r="AR442" s="673">
        <f t="shared" si="889"/>
        <v>1.009619238476954</v>
      </c>
      <c r="AS442" s="673">
        <f t="shared" si="889"/>
        <v>1.0097560975609756</v>
      </c>
      <c r="AT442" s="673">
        <f t="shared" si="889"/>
        <v>1.0107794361525704</v>
      </c>
      <c r="AU442" s="1072">
        <f t="shared" si="889"/>
        <v>1.0107794361525704</v>
      </c>
      <c r="AV442" s="673">
        <f t="shared" si="889"/>
        <v>1.0116666666666665</v>
      </c>
      <c r="AW442" s="673">
        <f t="shared" si="889"/>
        <v>1.0113780025284449</v>
      </c>
      <c r="AX442" s="673">
        <f t="shared" si="889"/>
        <v>1.0106700810926164</v>
      </c>
      <c r="AY442" s="673">
        <f t="shared" si="889"/>
        <v>1.013356311934511</v>
      </c>
      <c r="AZ442" s="1072">
        <f t="shared" si="889"/>
        <v>1.013356311934511</v>
      </c>
      <c r="BA442" s="673">
        <f t="shared" si="889"/>
        <v>1.0116883116883117</v>
      </c>
      <c r="BB442" s="673">
        <f t="shared" si="889"/>
        <v>1.0117955439056356</v>
      </c>
      <c r="BC442" s="673">
        <f t="shared" si="889"/>
        <v>1.0100700525394044</v>
      </c>
      <c r="BD442" s="673">
        <f>(BD441+BD430)/BD430</f>
        <v>1.0118317265556529</v>
      </c>
      <c r="BE442" s="1072">
        <f>(BE441+BE430)/BE430</f>
        <v>1.0118317265556529</v>
      </c>
      <c r="BF442" s="673">
        <f>(BF441+BF430)/BF430</f>
        <v>1.0131004366812226</v>
      </c>
      <c r="BG442" s="673">
        <f>(BG441+BG430)/BG430</f>
        <v>1.0127248793330408</v>
      </c>
      <c r="BH442" s="772">
        <f>(BH441+BH430)/BH430</f>
        <v>1.0140969162995594</v>
      </c>
      <c r="BI442" s="957">
        <v>1.01</v>
      </c>
      <c r="BJ442" s="1072">
        <f ca="1">(BJ441+BJ430)/BJ430</f>
        <v>1.01</v>
      </c>
      <c r="BK442" s="957">
        <v>1.01</v>
      </c>
      <c r="BL442" s="957">
        <v>1.01</v>
      </c>
      <c r="BM442" s="957">
        <v>1.01</v>
      </c>
      <c r="BN442" s="957">
        <v>1.01</v>
      </c>
      <c r="BO442" s="1072">
        <f ca="1">(BO441+BO430)/BO430</f>
        <v>1.01</v>
      </c>
      <c r="BP442" s="1073">
        <v>1.01</v>
      </c>
      <c r="BQ442" s="1073">
        <v>1.01</v>
      </c>
      <c r="BR442" s="1073">
        <v>1.01</v>
      </c>
      <c r="BS442" s="833"/>
    </row>
    <row r="443" spans="1:71" s="24" customFormat="1" ht="15" customHeight="1" hidden="1" outlineLevel="1">
      <c r="A443" s="625"/>
      <c r="B443" s="462"/>
      <c r="C443" s="1071"/>
      <c r="D443" s="1071"/>
      <c r="E443" s="1071"/>
      <c r="F443" s="1071"/>
      <c r="G443" s="1071"/>
      <c r="H443" s="624"/>
      <c r="I443" s="624"/>
      <c r="J443" s="624"/>
      <c r="K443" s="624"/>
      <c r="L443" s="1071"/>
      <c r="M443" s="624"/>
      <c r="N443" s="624"/>
      <c r="O443" s="624"/>
      <c r="P443" s="624"/>
      <c r="Q443" s="1071"/>
      <c r="R443" s="624"/>
      <c r="S443" s="624"/>
      <c r="T443" s="624"/>
      <c r="U443" s="624"/>
      <c r="V443" s="1071"/>
      <c r="W443" s="624"/>
      <c r="X443" s="624"/>
      <c r="Y443" s="624"/>
      <c r="Z443" s="624"/>
      <c r="AA443" s="1071"/>
      <c r="AB443" s="624"/>
      <c r="AC443" s="624"/>
      <c r="AD443" s="624"/>
      <c r="AE443" s="624"/>
      <c r="AF443" s="1071"/>
      <c r="AG443" s="624"/>
      <c r="AH443" s="624"/>
      <c r="AI443" s="624"/>
      <c r="AJ443" s="624"/>
      <c r="AK443" s="1071"/>
      <c r="AL443" s="624"/>
      <c r="AM443" s="624"/>
      <c r="AN443" s="624"/>
      <c r="AO443" s="624"/>
      <c r="AP443" s="1071"/>
      <c r="AQ443" s="624"/>
      <c r="AR443" s="624"/>
      <c r="AS443" s="624"/>
      <c r="AT443" s="624"/>
      <c r="AU443" s="1071"/>
      <c r="AV443" s="624"/>
      <c r="AW443" s="624"/>
      <c r="AX443" s="624"/>
      <c r="AY443" s="624"/>
      <c r="AZ443" s="1071"/>
      <c r="BA443" s="624"/>
      <c r="BB443" s="624"/>
      <c r="BC443" s="624"/>
      <c r="BD443" s="624"/>
      <c r="BE443" s="1071"/>
      <c r="BF443" s="624"/>
      <c r="BG443" s="624"/>
      <c r="BH443" s="771"/>
      <c r="BI443" s="624"/>
      <c r="BJ443" s="1071"/>
      <c r="BK443" s="624"/>
      <c r="BL443" s="624"/>
      <c r="BM443" s="624"/>
      <c r="BN443" s="624"/>
      <c r="BO443" s="1071"/>
      <c r="BP443" s="1071"/>
      <c r="BQ443" s="1071"/>
      <c r="BR443" s="1071"/>
      <c r="BS443" s="833"/>
    </row>
    <row r="444" spans="1:71" s="24" customFormat="1" ht="15" customHeight="1" hidden="1" outlineLevel="1">
      <c r="A444" s="625" t="s">
        <v>614</v>
      </c>
      <c r="B444" s="462"/>
      <c r="C444" s="1011">
        <f t="shared" si="890" ref="C444:AH444">C430+C441</f>
        <v>525.69999999999993</v>
      </c>
      <c r="D444" s="1011">
        <f t="shared" si="890"/>
        <v>440.60</v>
      </c>
      <c r="E444" s="1011">
        <f t="shared" si="890"/>
        <v>397.50</v>
      </c>
      <c r="F444" s="1011">
        <f t="shared" si="890"/>
        <v>381</v>
      </c>
      <c r="G444" s="1011">
        <f t="shared" si="890"/>
        <v>357.50</v>
      </c>
      <c r="H444" s="857">
        <f t="shared" si="890"/>
        <v>351.20000000000005</v>
      </c>
      <c r="I444" s="857">
        <f t="shared" si="890"/>
        <v>342.70</v>
      </c>
      <c r="J444" s="857">
        <f t="shared" si="890"/>
        <v>335.19999999999993</v>
      </c>
      <c r="K444" s="857">
        <f t="shared" si="890"/>
        <v>326.39999999999998</v>
      </c>
      <c r="L444" s="1011">
        <f t="shared" si="890"/>
        <v>326.39999999999998</v>
      </c>
      <c r="M444" s="857">
        <f t="shared" si="890"/>
        <v>322.39999999999998</v>
      </c>
      <c r="N444" s="857">
        <f t="shared" si="890"/>
        <v>314.39999999999998</v>
      </c>
      <c r="O444" s="857">
        <f t="shared" si="890"/>
        <v>307.59999999999997</v>
      </c>
      <c r="P444" s="857">
        <f t="shared" si="890"/>
        <v>299.50</v>
      </c>
      <c r="Q444" s="1011">
        <f t="shared" si="890"/>
        <v>299.50</v>
      </c>
      <c r="R444" s="857">
        <f t="shared" si="890"/>
        <v>296.09999999999997</v>
      </c>
      <c r="S444" s="857">
        <f t="shared" si="890"/>
        <v>291.80</v>
      </c>
      <c r="T444" s="857">
        <f t="shared" si="890"/>
        <v>287.90000000000003</v>
      </c>
      <c r="U444" s="857">
        <f t="shared" si="890"/>
        <v>282.60000000000002</v>
      </c>
      <c r="V444" s="1011">
        <f t="shared" si="890"/>
        <v>282.60000000000002</v>
      </c>
      <c r="W444" s="857">
        <f t="shared" si="890"/>
        <v>282.09999999999997</v>
      </c>
      <c r="X444" s="857">
        <f t="shared" si="890"/>
        <v>278.39999999999998</v>
      </c>
      <c r="Y444" s="857">
        <f t="shared" si="890"/>
        <v>276.20</v>
      </c>
      <c r="Z444" s="857">
        <f t="shared" si="890"/>
        <v>274.29999999999995</v>
      </c>
      <c r="AA444" s="1011">
        <f t="shared" si="890"/>
        <v>274.29999999999995</v>
      </c>
      <c r="AB444" s="857">
        <f t="shared" si="890"/>
        <v>273.09999999999997</v>
      </c>
      <c r="AC444" s="857">
        <f t="shared" si="890"/>
        <v>270.10000000000002</v>
      </c>
      <c r="AD444" s="857">
        <f t="shared" si="890"/>
        <v>267.09999999999997</v>
      </c>
      <c r="AE444" s="857">
        <f t="shared" si="890"/>
        <v>265.70000000000005</v>
      </c>
      <c r="AF444" s="1011">
        <f t="shared" si="890"/>
        <v>265.70000000000005</v>
      </c>
      <c r="AG444" s="857">
        <f t="shared" si="890"/>
        <v>263.80</v>
      </c>
      <c r="AH444" s="857">
        <f t="shared" si="890"/>
        <v>262.70</v>
      </c>
      <c r="AI444" s="857">
        <f t="shared" si="891" ref="AI444:BJ444">AI430+AI441</f>
        <v>260.70000000000005</v>
      </c>
      <c r="AJ444" s="857">
        <f t="shared" si="891"/>
        <v>257.70</v>
      </c>
      <c r="AK444" s="1011">
        <f t="shared" si="891"/>
        <v>257.70</v>
      </c>
      <c r="AL444" s="857">
        <f t="shared" si="891"/>
        <v>254.30</v>
      </c>
      <c r="AM444" s="857">
        <f t="shared" si="891"/>
        <v>254.70</v>
      </c>
      <c r="AN444" s="857">
        <f t="shared" si="891"/>
        <v>254.30</v>
      </c>
      <c r="AO444" s="857">
        <f t="shared" si="891"/>
        <v>253.80</v>
      </c>
      <c r="AP444" s="1011">
        <f t="shared" si="891"/>
        <v>253.80</v>
      </c>
      <c r="AQ444" s="857">
        <f t="shared" si="891"/>
        <v>253.50</v>
      </c>
      <c r="AR444" s="857">
        <f t="shared" si="891"/>
        <v>251.90</v>
      </c>
      <c r="AS444" s="857">
        <f t="shared" si="891"/>
        <v>248.40</v>
      </c>
      <c r="AT444" s="857">
        <f t="shared" si="891"/>
        <v>243.79999999999998</v>
      </c>
      <c r="AU444" s="1011">
        <f t="shared" si="891"/>
        <v>243.79999999999998</v>
      </c>
      <c r="AV444" s="857">
        <f t="shared" si="891"/>
        <v>242.79999999999998</v>
      </c>
      <c r="AW444" s="857">
        <f t="shared" si="891"/>
        <v>240</v>
      </c>
      <c r="AX444" s="857">
        <f t="shared" si="891"/>
        <v>236.80</v>
      </c>
      <c r="AY444" s="857">
        <f t="shared" si="891"/>
        <v>235.20000000000002</v>
      </c>
      <c r="AZ444" s="1011">
        <f t="shared" si="891"/>
        <v>235.20000000000002</v>
      </c>
      <c r="BA444" s="857">
        <f t="shared" si="891"/>
        <v>233.70000000000002</v>
      </c>
      <c r="BB444" s="857">
        <f t="shared" si="891"/>
        <v>231.60000000000002</v>
      </c>
      <c r="BC444" s="857">
        <f t="shared" si="891"/>
        <v>230.70</v>
      </c>
      <c r="BD444" s="857">
        <f t="shared" si="892" ref="BD444:BI444">BD430+BD441</f>
        <v>230.89999999999998</v>
      </c>
      <c r="BE444" s="1011">
        <f t="shared" si="892"/>
        <v>230.89999999999998</v>
      </c>
      <c r="BF444" s="857">
        <f>BF430+BF441</f>
        <v>232</v>
      </c>
      <c r="BG444" s="857">
        <f>BG430+BG441</f>
        <v>230.80</v>
      </c>
      <c r="BH444" s="858">
        <f>BH430+BH441</f>
        <v>230.20</v>
      </c>
      <c r="BI444" s="857">
        <f t="shared" ca="1" si="892"/>
        <v>229.27</v>
      </c>
      <c r="BJ444" s="1011">
        <f t="shared" ca="1" si="891"/>
        <v>229.27</v>
      </c>
      <c r="BK444" s="857">
        <f ca="1" t="shared" si="893" ref="BK444:BR444">BK430+BK441</f>
        <v>229.27</v>
      </c>
      <c r="BL444" s="857">
        <f t="shared" ca="1" si="893"/>
        <v>229.27</v>
      </c>
      <c r="BM444" s="857">
        <f t="shared" ca="1" si="893"/>
        <v>229.27</v>
      </c>
      <c r="BN444" s="857">
        <f t="shared" ca="1" si="893"/>
        <v>229.27</v>
      </c>
      <c r="BO444" s="1011">
        <f t="shared" ca="1" si="893"/>
        <v>229.27</v>
      </c>
      <c r="BP444" s="1011">
        <f t="shared" ca="1" si="893"/>
        <v>229.27</v>
      </c>
      <c r="BQ444" s="1011">
        <f t="shared" ca="1" si="893"/>
        <v>229.27</v>
      </c>
      <c r="BR444" s="1011">
        <f t="shared" ca="1" si="893"/>
        <v>229.27</v>
      </c>
      <c r="BS444" s="833"/>
    </row>
    <row r="445" spans="1:71" s="24" customFormat="1" ht="15" customHeight="1" collapsed="1">
      <c r="A445" s="625"/>
      <c r="B445" s="462"/>
      <c r="C445" s="1011"/>
      <c r="D445" s="1011"/>
      <c r="E445" s="1011"/>
      <c r="F445" s="1011"/>
      <c r="G445" s="1011"/>
      <c r="H445" s="857"/>
      <c r="I445" s="857"/>
      <c r="J445" s="857"/>
      <c r="K445" s="857"/>
      <c r="L445" s="1011"/>
      <c r="M445" s="857"/>
      <c r="N445" s="857"/>
      <c r="O445" s="857"/>
      <c r="P445" s="857"/>
      <c r="Q445" s="1011"/>
      <c r="R445" s="857"/>
      <c r="S445" s="857"/>
      <c r="T445" s="857"/>
      <c r="U445" s="857"/>
      <c r="V445" s="1011"/>
      <c r="W445" s="857"/>
      <c r="X445" s="857"/>
      <c r="Y445" s="857"/>
      <c r="Z445" s="857"/>
      <c r="AA445" s="1011"/>
      <c r="AB445" s="857"/>
      <c r="AC445" s="857"/>
      <c r="AD445" s="857"/>
      <c r="AE445" s="857"/>
      <c r="AF445" s="1011"/>
      <c r="AG445" s="857"/>
      <c r="AH445" s="857"/>
      <c r="AI445" s="857"/>
      <c r="AJ445" s="857"/>
      <c r="AK445" s="1011"/>
      <c r="AL445" s="857"/>
      <c r="AM445" s="857"/>
      <c r="AN445" s="857"/>
      <c r="AO445" s="857"/>
      <c r="AP445" s="1011"/>
      <c r="AQ445" s="857"/>
      <c r="AR445" s="857"/>
      <c r="AS445" s="857"/>
      <c r="AT445" s="857"/>
      <c r="AU445" s="1011"/>
      <c r="AV445" s="857"/>
      <c r="AW445" s="857"/>
      <c r="AX445" s="857"/>
      <c r="AY445" s="857"/>
      <c r="AZ445" s="1011"/>
      <c r="BA445" s="857"/>
      <c r="BB445" s="857"/>
      <c r="BC445" s="857"/>
      <c r="BD445" s="857"/>
      <c r="BE445" s="1011"/>
      <c r="BF445" s="857"/>
      <c r="BG445" s="857"/>
      <c r="BH445" s="858"/>
      <c r="BI445" s="857"/>
      <c r="BJ445" s="1011"/>
      <c r="BK445" s="857"/>
      <c r="BL445" s="857"/>
      <c r="BM445" s="857"/>
      <c r="BN445" s="857"/>
      <c r="BO445" s="1011"/>
      <c r="BP445" s="1011"/>
      <c r="BQ445" s="1011"/>
      <c r="BR445" s="1011"/>
      <c r="BS445" s="833"/>
    </row>
    <row r="446" spans="1:71" s="181" customFormat="1" ht="15">
      <c r="A446" s="826" t="s">
        <v>162</v>
      </c>
      <c r="B446" s="826"/>
      <c r="C446" s="847"/>
      <c r="D446" s="847"/>
      <c r="E446" s="847"/>
      <c r="F446" s="847"/>
      <c r="G446" s="847"/>
      <c r="H446" s="847"/>
      <c r="I446" s="847"/>
      <c r="J446" s="847"/>
      <c r="K446" s="847"/>
      <c r="L446" s="847"/>
      <c r="M446" s="847"/>
      <c r="N446" s="847"/>
      <c r="O446" s="847"/>
      <c r="P446" s="847"/>
      <c r="Q446" s="847"/>
      <c r="R446" s="847"/>
      <c r="S446" s="847"/>
      <c r="T446" s="847"/>
      <c r="U446" s="847"/>
      <c r="V446" s="847"/>
      <c r="W446" s="847"/>
      <c r="X446" s="847"/>
      <c r="Y446" s="847"/>
      <c r="Z446" s="847"/>
      <c r="AA446" s="847"/>
      <c r="AB446" s="847"/>
      <c r="AC446" s="847"/>
      <c r="AD446" s="847"/>
      <c r="AE446" s="847"/>
      <c r="AF446" s="847"/>
      <c r="AG446" s="847"/>
      <c r="AH446" s="847"/>
      <c r="AI446" s="847"/>
      <c r="AJ446" s="847"/>
      <c r="AK446" s="847"/>
      <c r="AL446" s="847"/>
      <c r="AM446" s="847"/>
      <c r="AN446" s="847"/>
      <c r="AO446" s="847"/>
      <c r="AP446" s="847"/>
      <c r="AQ446" s="847"/>
      <c r="AR446" s="847"/>
      <c r="AS446" s="847"/>
      <c r="AT446" s="847"/>
      <c r="AU446" s="847"/>
      <c r="AV446" s="847"/>
      <c r="AW446" s="847"/>
      <c r="AX446" s="847"/>
      <c r="AY446" s="847"/>
      <c r="AZ446" s="847"/>
      <c r="BA446" s="847"/>
      <c r="BB446" s="847"/>
      <c r="BC446" s="847"/>
      <c r="BD446" s="847"/>
      <c r="BE446" s="847"/>
      <c r="BF446" s="847"/>
      <c r="BG446" s="847"/>
      <c r="BH446" s="848"/>
      <c r="BI446" s="847"/>
      <c r="BJ446" s="847"/>
      <c r="BK446" s="847"/>
      <c r="BL446" s="847"/>
      <c r="BM446" s="847"/>
      <c r="BN446" s="847"/>
      <c r="BO446" s="847"/>
      <c r="BP446" s="847"/>
      <c r="BQ446" s="847"/>
      <c r="BR446" s="847"/>
      <c r="BS446" s="423"/>
    </row>
    <row r="447" spans="1:71" s="24" customFormat="1" ht="15">
      <c r="A447" s="64" t="s">
        <v>163</v>
      </c>
      <c r="B447" s="462"/>
      <c r="C447" s="993">
        <f t="shared" si="894" ref="C447:AM447">C606</f>
        <v>-693</v>
      </c>
      <c r="D447" s="993">
        <f t="shared" si="894"/>
        <v>-673</v>
      </c>
      <c r="E447" s="993">
        <f t="shared" si="894"/>
        <v>-665</v>
      </c>
      <c r="F447" s="993">
        <f t="shared" si="894"/>
        <v>-694</v>
      </c>
      <c r="G447" s="993">
        <f t="shared" si="894"/>
        <v>-729</v>
      </c>
      <c r="H447" s="265">
        <f t="shared" si="894"/>
        <v>-176</v>
      </c>
      <c r="I447" s="265">
        <f t="shared" si="894"/>
        <v>-189</v>
      </c>
      <c r="J447" s="265">
        <f t="shared" si="894"/>
        <v>-184</v>
      </c>
      <c r="K447" s="265">
        <f t="shared" si="894"/>
        <v>-180</v>
      </c>
      <c r="L447" s="993">
        <f t="shared" si="894"/>
        <v>-729</v>
      </c>
      <c r="M447" s="265">
        <f t="shared" si="894"/>
        <v>-177</v>
      </c>
      <c r="N447" s="265">
        <f t="shared" si="894"/>
        <v>-192</v>
      </c>
      <c r="O447" s="265">
        <f t="shared" si="894"/>
        <v>-188</v>
      </c>
      <c r="P447" s="265">
        <f t="shared" si="894"/>
        <v>-182</v>
      </c>
      <c r="Q447" s="993">
        <f t="shared" si="894"/>
        <v>-739</v>
      </c>
      <c r="R447" s="265">
        <f t="shared" si="894"/>
        <v>-180</v>
      </c>
      <c r="S447" s="265">
        <f t="shared" si="894"/>
        <v>-195</v>
      </c>
      <c r="T447" s="265">
        <f t="shared" si="894"/>
        <v>-194</v>
      </c>
      <c r="U447" s="265">
        <f t="shared" si="894"/>
        <v>-188</v>
      </c>
      <c r="V447" s="993">
        <f t="shared" si="894"/>
        <v>-757</v>
      </c>
      <c r="W447" s="265">
        <f t="shared" si="894"/>
        <v>-190</v>
      </c>
      <c r="X447" s="265">
        <f t="shared" si="894"/>
        <v>-199</v>
      </c>
      <c r="Y447" s="265">
        <f t="shared" si="894"/>
        <v>-200</v>
      </c>
      <c r="Z447" s="265">
        <f t="shared" si="894"/>
        <v>-196</v>
      </c>
      <c r="AA447" s="993">
        <f t="shared" si="894"/>
        <v>-785</v>
      </c>
      <c r="AB447" s="265">
        <f t="shared" si="894"/>
        <v>-197</v>
      </c>
      <c r="AC447" s="265">
        <f t="shared" si="894"/>
        <v>-207</v>
      </c>
      <c r="AD447" s="265">
        <f t="shared" si="894"/>
        <v>-207</v>
      </c>
      <c r="AE447" s="265">
        <f t="shared" si="894"/>
        <v>-203</v>
      </c>
      <c r="AF447" s="993">
        <f t="shared" si="894"/>
        <v>-814</v>
      </c>
      <c r="AG447" s="265">
        <f t="shared" si="894"/>
        <v>-205</v>
      </c>
      <c r="AH447" s="265">
        <f t="shared" si="894"/>
        <v>-214</v>
      </c>
      <c r="AI447" s="265">
        <f t="shared" si="894"/>
        <v>-214</v>
      </c>
      <c r="AJ447" s="265">
        <f t="shared" si="894"/>
        <v>-211</v>
      </c>
      <c r="AK447" s="993">
        <f t="shared" si="894"/>
        <v>-844</v>
      </c>
      <c r="AL447" s="265">
        <f t="shared" si="894"/>
        <v>-210</v>
      </c>
      <c r="AM447" s="265">
        <f t="shared" si="894"/>
        <v>-216</v>
      </c>
      <c r="AN447" s="265">
        <f>AN606</f>
        <v>-217</v>
      </c>
      <c r="AO447" s="265">
        <f t="shared" si="895" ref="AO447:AQ447">AO606</f>
        <v>-218</v>
      </c>
      <c r="AP447" s="993">
        <f t="shared" si="895"/>
        <v>-861</v>
      </c>
      <c r="AQ447" s="265">
        <f t="shared" si="895"/>
        <v>-214</v>
      </c>
      <c r="AR447" s="265">
        <f t="shared" si="896" ref="AR447:AW447">AR606</f>
        <v>-222</v>
      </c>
      <c r="AS447" s="265">
        <f t="shared" si="896"/>
        <v>-219</v>
      </c>
      <c r="AT447" s="265">
        <f t="shared" si="896"/>
        <v>-214</v>
      </c>
      <c r="AU447" s="993">
        <f t="shared" si="896"/>
        <v>-869</v>
      </c>
      <c r="AV447" s="265">
        <f t="shared" si="896"/>
        <v>-213</v>
      </c>
      <c r="AW447" s="265">
        <f t="shared" si="896"/>
        <v>-223</v>
      </c>
      <c r="AX447" s="265">
        <f t="shared" si="897" ref="AX447:BC447">AX606</f>
        <v>-220</v>
      </c>
      <c r="AY447" s="265">
        <f t="shared" si="897"/>
        <v>-219</v>
      </c>
      <c r="AZ447" s="993">
        <f t="shared" si="897"/>
        <v>-875</v>
      </c>
      <c r="BA447" s="265">
        <f t="shared" si="897"/>
        <v>-215</v>
      </c>
      <c r="BB447" s="265">
        <f t="shared" si="897"/>
        <v>-232</v>
      </c>
      <c r="BC447" s="265">
        <f t="shared" si="897"/>
        <v>-229</v>
      </c>
      <c r="BD447" s="265">
        <f>BD606</f>
        <v>-232</v>
      </c>
      <c r="BE447" s="993">
        <f>BE606</f>
        <v>-908</v>
      </c>
      <c r="BF447" s="265">
        <f>BF606</f>
        <v>-229</v>
      </c>
      <c r="BG447" s="265">
        <f>BG606</f>
        <v>-244</v>
      </c>
      <c r="BH447" s="745">
        <f>BH606</f>
        <v>-238</v>
      </c>
      <c r="BI447" s="210">
        <f ca="1">-BI448*BI425</f>
        <v>-238.35000000000002</v>
      </c>
      <c r="BJ447" s="994">
        <f ca="1">BJ606</f>
        <v>-949.35</v>
      </c>
      <c r="BK447" s="210">
        <f ca="1">-BK448*BK425</f>
        <v>-238.35000000000002</v>
      </c>
      <c r="BL447" s="210">
        <f ca="1">-BL448*BL425</f>
        <v>-238.35000000000002</v>
      </c>
      <c r="BM447" s="210">
        <f ca="1">-BM448*BM425</f>
        <v>-238.35000000000002</v>
      </c>
      <c r="BN447" s="210">
        <f ca="1">-BN448*BN425</f>
        <v>-238.35000000000002</v>
      </c>
      <c r="BO447" s="994">
        <f ca="1">BO606</f>
        <v>-953.40000000000009</v>
      </c>
      <c r="BP447" s="994">
        <f ca="1">-BP448*BP425</f>
        <v>-953.40000000000009</v>
      </c>
      <c r="BQ447" s="994">
        <f ca="1">-BQ448*BQ425</f>
        <v>-953.40000000000009</v>
      </c>
      <c r="BR447" s="994">
        <f ca="1">-BR448*BR425</f>
        <v>-953.40000000000009</v>
      </c>
      <c r="BS447" s="833"/>
    </row>
    <row r="448" spans="1:71" s="34" customFormat="1" ht="15">
      <c r="A448" s="178" t="s">
        <v>164</v>
      </c>
      <c r="B448" s="495"/>
      <c r="C448" s="1047">
        <v>1.23</v>
      </c>
      <c r="D448" s="1047">
        <v>1.41</v>
      </c>
      <c r="E448" s="1047">
        <v>1.59</v>
      </c>
      <c r="F448" s="1047">
        <v>1.79</v>
      </c>
      <c r="G448" s="1047">
        <v>1.96</v>
      </c>
      <c r="H448" s="941">
        <v>0.50</v>
      </c>
      <c r="I448" s="941">
        <v>0.55000000000000004</v>
      </c>
      <c r="J448" s="941">
        <v>0.55000000000000004</v>
      </c>
      <c r="K448" s="941">
        <v>0.55000000000000004</v>
      </c>
      <c r="L448" s="1074">
        <f>SUM(H448,I448,J448,K448)</f>
        <v>2.1500000000000004</v>
      </c>
      <c r="M448" s="941">
        <v>0.55000000000000004</v>
      </c>
      <c r="N448" s="941">
        <v>0.61</v>
      </c>
      <c r="O448" s="941">
        <v>0.61</v>
      </c>
      <c r="P448" s="941">
        <v>0.61</v>
      </c>
      <c r="Q448" s="1074">
        <f>SUM(M448,N448,O448,P448)</f>
        <v>2.38</v>
      </c>
      <c r="R448" s="941">
        <v>0.61</v>
      </c>
      <c r="S448" s="941">
        <v>0.67</v>
      </c>
      <c r="T448" s="941">
        <v>0.67</v>
      </c>
      <c r="U448" s="941">
        <v>0.67</v>
      </c>
      <c r="V448" s="1074">
        <f>SUM(R448,S448,T448,U448)</f>
        <v>2.62</v>
      </c>
      <c r="W448" s="941">
        <v>0.67</v>
      </c>
      <c r="X448" s="941">
        <v>0.72</v>
      </c>
      <c r="Y448" s="941">
        <v>0.72</v>
      </c>
      <c r="Z448" s="959">
        <v>0.72</v>
      </c>
      <c r="AA448" s="1075">
        <f>SUM(W448,X448,Y448,Z448)</f>
        <v>2.83</v>
      </c>
      <c r="AB448" s="941">
        <v>0.72</v>
      </c>
      <c r="AC448" s="941">
        <v>0.77</v>
      </c>
      <c r="AD448" s="941">
        <v>0.77</v>
      </c>
      <c r="AE448" s="959">
        <v>0.77</v>
      </c>
      <c r="AF448" s="1075">
        <f>SUM(AB448,AC448,AD448,AE448)</f>
        <v>3.03</v>
      </c>
      <c r="AG448" s="941">
        <v>0.77</v>
      </c>
      <c r="AH448" s="941">
        <v>0.82</v>
      </c>
      <c r="AI448" s="941">
        <v>0.82</v>
      </c>
      <c r="AJ448" s="959">
        <v>0.82</v>
      </c>
      <c r="AK448" s="1075">
        <f>SUM(AG448,AH448,AI448,AJ448)</f>
        <v>3.2299999999999995</v>
      </c>
      <c r="AL448" s="941">
        <v>0.82</v>
      </c>
      <c r="AM448" s="941">
        <v>0.85</v>
      </c>
      <c r="AN448" s="941">
        <v>0.85</v>
      </c>
      <c r="AO448" s="959">
        <v>0.85</v>
      </c>
      <c r="AP448" s="1075">
        <f>SUM(AL448,AM448,AN448,AO448)</f>
        <v>3.37</v>
      </c>
      <c r="AQ448" s="941">
        <v>0.85</v>
      </c>
      <c r="AR448" s="941">
        <v>0.88</v>
      </c>
      <c r="AS448" s="941">
        <v>0.88</v>
      </c>
      <c r="AT448" s="959">
        <v>0.88</v>
      </c>
      <c r="AU448" s="1075">
        <f>SUM(AQ448,AR448,AS448,AT448)</f>
        <v>3.49</v>
      </c>
      <c r="AV448" s="941">
        <v>0.88</v>
      </c>
      <c r="AW448" s="941">
        <v>0.93</v>
      </c>
      <c r="AX448" s="941">
        <v>0.93</v>
      </c>
      <c r="AY448" s="959">
        <v>0.93</v>
      </c>
      <c r="AZ448" s="1075">
        <f>SUM(AV448,AW448,AX448,AY448)</f>
        <v>3.6700000000000004</v>
      </c>
      <c r="BA448" s="941">
        <v>0.93</v>
      </c>
      <c r="BB448" s="941">
        <v>1</v>
      </c>
      <c r="BC448" s="941">
        <v>1</v>
      </c>
      <c r="BD448" s="959">
        <v>1</v>
      </c>
      <c r="BE448" s="1075">
        <f>SUM(BA448,BB448,BC448,BD448)</f>
        <v>3.93</v>
      </c>
      <c r="BF448" s="941">
        <v>1</v>
      </c>
      <c r="BG448" s="941">
        <v>1.05</v>
      </c>
      <c r="BH448" s="942">
        <v>1.05</v>
      </c>
      <c r="BI448" s="959">
        <v>1.05</v>
      </c>
      <c r="BJ448" s="1076">
        <f>SUM(BF448,BG448,BH448,BI448)</f>
        <v>4.1499999999999995</v>
      </c>
      <c r="BK448" s="959">
        <v>1.05</v>
      </c>
      <c r="BL448" s="959">
        <v>1.05</v>
      </c>
      <c r="BM448" s="959">
        <v>1.05</v>
      </c>
      <c r="BN448" s="959">
        <v>1.05</v>
      </c>
      <c r="BO448" s="1076">
        <f>SUM(BK448,BL448,BM448,BN448)</f>
        <v>4.20</v>
      </c>
      <c r="BP448" s="1077">
        <v>4.20</v>
      </c>
      <c r="BQ448" s="1077">
        <v>4.20</v>
      </c>
      <c r="BR448" s="1077">
        <v>4.20</v>
      </c>
      <c r="BS448" s="270"/>
    </row>
    <row r="449" spans="1:71" s="30" customFormat="1" ht="15">
      <c r="A449" s="496"/>
      <c r="B449" s="217"/>
      <c r="C449" s="1078"/>
      <c r="D449" s="1078"/>
      <c r="E449" s="1079"/>
      <c r="F449" s="1079"/>
      <c r="G449" s="1079"/>
      <c r="H449" s="497"/>
      <c r="I449" s="497"/>
      <c r="J449" s="497"/>
      <c r="K449" s="497"/>
      <c r="L449" s="1079"/>
      <c r="M449" s="497"/>
      <c r="N449" s="497"/>
      <c r="O449" s="497"/>
      <c r="P449" s="497"/>
      <c r="Q449" s="1079"/>
      <c r="R449" s="497"/>
      <c r="S449" s="497"/>
      <c r="T449" s="497"/>
      <c r="U449" s="497"/>
      <c r="V449" s="1079"/>
      <c r="W449" s="497"/>
      <c r="X449" s="497"/>
      <c r="Y449" s="497"/>
      <c r="Z449" s="497"/>
      <c r="AA449" s="1079"/>
      <c r="AB449" s="497"/>
      <c r="AC449" s="497"/>
      <c r="AD449" s="497"/>
      <c r="AE449" s="497"/>
      <c r="AF449" s="1079"/>
      <c r="AG449" s="497"/>
      <c r="AH449" s="497"/>
      <c r="AI449" s="497"/>
      <c r="AJ449" s="497"/>
      <c r="AK449" s="1079"/>
      <c r="AL449" s="497"/>
      <c r="AM449" s="497"/>
      <c r="AN449" s="497"/>
      <c r="AO449" s="497"/>
      <c r="AP449" s="1079"/>
      <c r="AQ449" s="497"/>
      <c r="AR449" s="497"/>
      <c r="AS449" s="497"/>
      <c r="AT449" s="497"/>
      <c r="AU449" s="1079"/>
      <c r="AV449" s="497"/>
      <c r="AW449" s="497"/>
      <c r="AX449" s="497"/>
      <c r="AY449" s="497"/>
      <c r="AZ449" s="1079"/>
      <c r="BA449" s="497"/>
      <c r="BB449" s="497"/>
      <c r="BC449" s="497"/>
      <c r="BD449" s="497"/>
      <c r="BE449" s="1079"/>
      <c r="BF449" s="497"/>
      <c r="BG449" s="497"/>
      <c r="BH449" s="773"/>
      <c r="BI449" s="497"/>
      <c r="BJ449" s="1079"/>
      <c r="BK449" s="497"/>
      <c r="BL449" s="497"/>
      <c r="BM449" s="497"/>
      <c r="BN449" s="497"/>
      <c r="BO449" s="1079"/>
      <c r="BP449" s="1079"/>
      <c r="BQ449" s="1079"/>
      <c r="BR449" s="1079"/>
      <c r="BS449" s="220"/>
    </row>
    <row r="450" spans="1:71" s="182" customFormat="1" ht="15">
      <c r="A450" s="83" t="s">
        <v>165</v>
      </c>
      <c r="B450" s="466"/>
      <c r="C450" s="1080">
        <f t="shared" si="898" ref="C450:AH450">-C447/C410</f>
        <v>0.1928750347898692</v>
      </c>
      <c r="D450" s="1080">
        <f t="shared" si="898"/>
        <v>0.21110414052697615</v>
      </c>
      <c r="E450" s="1081">
        <f t="shared" si="898"/>
        <v>0.47029702970297027</v>
      </c>
      <c r="F450" s="1081">
        <f t="shared" si="898"/>
        <v>0.28280358598207012</v>
      </c>
      <c r="G450" s="1081">
        <f t="shared" si="898"/>
        <v>0.19994514536478333</v>
      </c>
      <c r="H450" s="134">
        <f t="shared" si="898"/>
        <v>0.16842105263157894</v>
      </c>
      <c r="I450" s="134">
        <f t="shared" si="898"/>
        <v>0.27876106194690264</v>
      </c>
      <c r="J450" s="134">
        <f t="shared" si="898"/>
        <v>0.20175438596491227</v>
      </c>
      <c r="K450" s="134">
        <f t="shared" si="898"/>
        <v>0.17475728155339806</v>
      </c>
      <c r="L450" s="1081">
        <f t="shared" si="898"/>
        <v>0.19890859481582537</v>
      </c>
      <c r="M450" s="134">
        <f t="shared" si="898"/>
        <v>0.21402660217654171</v>
      </c>
      <c r="N450" s="134">
        <f t="shared" si="898"/>
        <v>0.23821339950372208</v>
      </c>
      <c r="O450" s="134">
        <f t="shared" si="898"/>
        <v>0.20390455531453361</v>
      </c>
      <c r="P450" s="134">
        <f t="shared" si="898"/>
        <v>0.21187427240977882</v>
      </c>
      <c r="Q450" s="1081">
        <f t="shared" si="898"/>
        <v>0.21646162858816637</v>
      </c>
      <c r="R450" s="134">
        <f t="shared" si="898"/>
        <v>0.26239067055393583</v>
      </c>
      <c r="S450" s="134">
        <f t="shared" si="898"/>
        <v>0.29590288315629742</v>
      </c>
      <c r="T450" s="134">
        <f t="shared" si="898"/>
        <v>0.27323943661971833</v>
      </c>
      <c r="U450" s="134">
        <f t="shared" si="898"/>
        <v>0.20064034151547491</v>
      </c>
      <c r="V450" s="1081">
        <f t="shared" si="898"/>
        <v>0.25300802139037432</v>
      </c>
      <c r="W450" s="134">
        <f t="shared" si="898"/>
        <v>0.3099510603588907</v>
      </c>
      <c r="X450" s="134">
        <f t="shared" si="898"/>
        <v>0.33728813559322035</v>
      </c>
      <c r="Y450" s="134">
        <f t="shared" si="898"/>
        <v>0.6872852233676976</v>
      </c>
      <c r="Z450" s="134">
        <f t="shared" si="898"/>
        <v>0.35831809872029252</v>
      </c>
      <c r="AA450" s="1081">
        <f t="shared" si="898"/>
        <v>0.38461538461538464</v>
      </c>
      <c r="AB450" s="134">
        <f t="shared" si="898"/>
        <v>0.29668674698795183</v>
      </c>
      <c r="AC450" s="134">
        <f t="shared" si="898"/>
        <v>0.39807692307692305</v>
      </c>
      <c r="AD450" s="134">
        <f t="shared" si="898"/>
        <v>0.29403409090909088</v>
      </c>
      <c r="AE450" s="134">
        <f t="shared" si="898"/>
        <v>0.32954545454545453</v>
      </c>
      <c r="AF450" s="1081">
        <f t="shared" si="898"/>
        <v>0.32507987220447282</v>
      </c>
      <c r="AG450" s="134">
        <f t="shared" si="898"/>
        <v>0.25916561314791403</v>
      </c>
      <c r="AH450" s="134">
        <f t="shared" si="898"/>
        <v>0.38698010849909587</v>
      </c>
      <c r="AI450" s="134">
        <f t="shared" si="899" ref="AI450:AW450">-AI447/AI410</f>
        <v>0.54452926208651398</v>
      </c>
      <c r="AJ450" s="134">
        <f t="shared" si="899"/>
        <v>0.24364896073903003</v>
      </c>
      <c r="AK450" s="1081">
        <f t="shared" si="899"/>
        <v>0.32424126008451787</v>
      </c>
      <c r="AL450" s="134">
        <f t="shared" si="899"/>
        <v>0.35294117647058826</v>
      </c>
      <c r="AM450" s="134">
        <f t="shared" si="899"/>
        <v>-5.2682926829268295</v>
      </c>
      <c r="AN450" s="134">
        <f t="shared" si="899"/>
        <v>0.26431181485992694</v>
      </c>
      <c r="AO450" s="134">
        <f t="shared" si="899"/>
        <v>0.16730621642363777</v>
      </c>
      <c r="AP450" s="1081">
        <f t="shared" si="899"/>
        <v>0.32150858849887975</v>
      </c>
      <c r="AQ450" s="134">
        <f t="shared" si="899"/>
        <v>0.29395604395604397</v>
      </c>
      <c r="AR450" s="134">
        <f t="shared" si="899"/>
        <v>0.23948220064724918</v>
      </c>
      <c r="AS450" s="134">
        <f t="shared" si="899"/>
        <v>0.33333333333333331</v>
      </c>
      <c r="AT450" s="134">
        <f t="shared" si="899"/>
        <v>0.1617535903250189</v>
      </c>
      <c r="AU450" s="1081">
        <f t="shared" si="899"/>
        <v>0.23906464924346629</v>
      </c>
      <c r="AV450" s="134">
        <f t="shared" si="899"/>
        <v>0.21068249258160238</v>
      </c>
      <c r="AW450" s="134">
        <f t="shared" si="899"/>
        <v>0.40767824497257771</v>
      </c>
      <c r="AX450" s="134">
        <f t="shared" si="900" ref="AX450:AZ450">-AX447/AX410</f>
        <v>0.48888888888888887</v>
      </c>
      <c r="AY450" s="134">
        <f t="shared" si="900"/>
        <v>0.26904176904176902</v>
      </c>
      <c r="AZ450" s="1081">
        <f t="shared" si="900"/>
        <v>0.31006378454996458</v>
      </c>
      <c r="BA450" s="134">
        <f t="shared" si="901" ref="BA450:BR450">-BA447/BA410</f>
        <v>0.22210743801652894</v>
      </c>
      <c r="BB450" s="134">
        <f t="shared" si="901"/>
        <v>-15.466666666666667</v>
      </c>
      <c r="BC450" s="134">
        <f t="shared" si="901"/>
        <v>0.57107231920199497</v>
      </c>
      <c r="BD450" s="134">
        <f t="shared" si="901"/>
        <v>0.14374225526641884</v>
      </c>
      <c r="BE450" s="1081">
        <f t="shared" si="901"/>
        <v>0.30582687773661166</v>
      </c>
      <c r="BF450" s="134">
        <f>-BF447/BF410</f>
        <v>0.20538116591928252</v>
      </c>
      <c r="BG450" s="134">
        <f>-BG447/BG410</f>
        <v>0.46124763705103972</v>
      </c>
      <c r="BH450" s="774">
        <f>-BH447/BH410</f>
        <v>0.19040000000000001</v>
      </c>
      <c r="BI450" s="649">
        <f t="shared" ca="1" si="901"/>
        <v>0.16525079780449292</v>
      </c>
      <c r="BJ450" s="1082">
        <f t="shared" ca="1" si="901"/>
        <v>0.21892820505096858</v>
      </c>
      <c r="BK450" s="649">
        <f t="shared" ca="1" si="901"/>
        <v>0.18408779013565643</v>
      </c>
      <c r="BL450" s="649">
        <f t="shared" ca="1" si="901"/>
        <v>0.27174873624264168</v>
      </c>
      <c r="BM450" s="649">
        <f t="shared" ca="1" si="901"/>
        <v>0.22251006745550209</v>
      </c>
      <c r="BN450" s="649">
        <f t="shared" ca="1" si="901"/>
        <v>0.15734378856889092</v>
      </c>
      <c r="BO450" s="1082">
        <f t="shared" ca="1" si="901"/>
        <v>0.20038324040495092</v>
      </c>
      <c r="BP450" s="1082">
        <f t="shared" ca="1" si="901"/>
        <v>0.18247430877472501</v>
      </c>
      <c r="BQ450" s="1082">
        <f t="shared" ca="1" si="901"/>
        <v>0.16980416316973743</v>
      </c>
      <c r="BR450" s="1082">
        <f t="shared" ca="1" si="901"/>
        <v>0.18628931816951164</v>
      </c>
      <c r="BS450" s="662"/>
    </row>
    <row r="451" spans="1:71" s="24" customFormat="1" ht="15">
      <c r="A451" s="828"/>
      <c r="B451" s="462"/>
      <c r="C451" s="1011"/>
      <c r="D451" s="1011"/>
      <c r="E451" s="1011"/>
      <c r="F451" s="1011"/>
      <c r="G451" s="1011"/>
      <c r="H451" s="857"/>
      <c r="I451" s="857"/>
      <c r="J451" s="857"/>
      <c r="K451" s="857"/>
      <c r="L451" s="1011"/>
      <c r="M451" s="857"/>
      <c r="N451" s="857"/>
      <c r="O451" s="857"/>
      <c r="P451" s="857"/>
      <c r="Q451" s="1011"/>
      <c r="R451" s="857"/>
      <c r="S451" s="857"/>
      <c r="T451" s="857"/>
      <c r="U451" s="857"/>
      <c r="V451" s="1011"/>
      <c r="W451" s="857"/>
      <c r="X451" s="857"/>
      <c r="Y451" s="857"/>
      <c r="Z451" s="857"/>
      <c r="AA451" s="1011"/>
      <c r="AB451" s="857"/>
      <c r="AC451" s="857"/>
      <c r="AD451" s="857"/>
      <c r="AE451" s="857"/>
      <c r="AF451" s="1011"/>
      <c r="AG451" s="857"/>
      <c r="AH451" s="857"/>
      <c r="AI451" s="857"/>
      <c r="AJ451" s="857"/>
      <c r="AK451" s="1011"/>
      <c r="AL451" s="857"/>
      <c r="AM451" s="857"/>
      <c r="AN451" s="857"/>
      <c r="AO451" s="857"/>
      <c r="AP451" s="1011"/>
      <c r="AQ451" s="857"/>
      <c r="AR451" s="857"/>
      <c r="AS451" s="857"/>
      <c r="AT451" s="857"/>
      <c r="AU451" s="1011"/>
      <c r="AV451" s="857"/>
      <c r="AW451" s="857"/>
      <c r="AX451" s="857"/>
      <c r="AY451" s="857"/>
      <c r="AZ451" s="1011"/>
      <c r="BA451" s="857"/>
      <c r="BB451" s="857"/>
      <c r="BC451" s="857"/>
      <c r="BD451" s="857"/>
      <c r="BE451" s="1011"/>
      <c r="BF451" s="857"/>
      <c r="BG451" s="857"/>
      <c r="BH451" s="858"/>
      <c r="BI451" s="857"/>
      <c r="BJ451" s="1011"/>
      <c r="BK451" s="857"/>
      <c r="BL451" s="857"/>
      <c r="BM451" s="857"/>
      <c r="BN451" s="857"/>
      <c r="BO451" s="1011"/>
      <c r="BP451" s="1011"/>
      <c r="BQ451" s="1011"/>
      <c r="BR451" s="1011"/>
      <c r="BS451" s="833"/>
    </row>
    <row r="452" spans="1:71" s="181" customFormat="1" ht="15">
      <c r="A452" s="826" t="s">
        <v>166</v>
      </c>
      <c r="B452" s="826"/>
      <c r="C452" s="847"/>
      <c r="D452" s="847"/>
      <c r="E452" s="847"/>
      <c r="F452" s="847"/>
      <c r="G452" s="847"/>
      <c r="H452" s="847"/>
      <c r="I452" s="847"/>
      <c r="J452" s="847"/>
      <c r="K452" s="847"/>
      <c r="L452" s="847"/>
      <c r="M452" s="847"/>
      <c r="N452" s="847"/>
      <c r="O452" s="847"/>
      <c r="P452" s="847"/>
      <c r="Q452" s="847"/>
      <c r="R452" s="847"/>
      <c r="S452" s="847"/>
      <c r="T452" s="847"/>
      <c r="U452" s="847"/>
      <c r="V452" s="847"/>
      <c r="W452" s="847"/>
      <c r="X452" s="847"/>
      <c r="Y452" s="847"/>
      <c r="Z452" s="847"/>
      <c r="AA452" s="847"/>
      <c r="AB452" s="847"/>
      <c r="AC452" s="847"/>
      <c r="AD452" s="847"/>
      <c r="AE452" s="847"/>
      <c r="AF452" s="847"/>
      <c r="AG452" s="847"/>
      <c r="AH452" s="847"/>
      <c r="AI452" s="847"/>
      <c r="AJ452" s="847"/>
      <c r="AK452" s="847"/>
      <c r="AL452" s="847"/>
      <c r="AM452" s="847"/>
      <c r="AN452" s="847"/>
      <c r="AO452" s="847"/>
      <c r="AP452" s="847"/>
      <c r="AQ452" s="847"/>
      <c r="AR452" s="847"/>
      <c r="AS452" s="847"/>
      <c r="AT452" s="847"/>
      <c r="AU452" s="847"/>
      <c r="AV452" s="847"/>
      <c r="AW452" s="847"/>
      <c r="AX452" s="847"/>
      <c r="AY452" s="847"/>
      <c r="AZ452" s="847"/>
      <c r="BA452" s="847"/>
      <c r="BB452" s="847"/>
      <c r="BC452" s="847"/>
      <c r="BD452" s="847"/>
      <c r="BE452" s="847"/>
      <c r="BF452" s="847"/>
      <c r="BG452" s="847"/>
      <c r="BH452" s="848"/>
      <c r="BI452" s="847"/>
      <c r="BJ452" s="847"/>
      <c r="BK452" s="847"/>
      <c r="BL452" s="847"/>
      <c r="BM452" s="847"/>
      <c r="BN452" s="847"/>
      <c r="BO452" s="847"/>
      <c r="BP452" s="847"/>
      <c r="BQ452" s="847"/>
      <c r="BR452" s="847"/>
      <c r="BS452" s="423"/>
    </row>
    <row r="453" spans="1:71" s="24" customFormat="1" ht="15">
      <c r="A453" s="263" t="s">
        <v>167</v>
      </c>
      <c r="B453" s="462"/>
      <c r="C453" s="993">
        <f t="shared" si="902" ref="C453:AQ453">INDEX(MO_UPR_NUPR,0,COLUMN())</f>
        <v>9945</v>
      </c>
      <c r="D453" s="993">
        <f t="shared" si="902"/>
        <v>10108</v>
      </c>
      <c r="E453" s="993">
        <f t="shared" si="902"/>
        <v>10274</v>
      </c>
      <c r="F453" s="993">
        <f t="shared" si="902"/>
        <v>10385</v>
      </c>
      <c r="G453" s="993">
        <f t="shared" si="902"/>
        <v>11049</v>
      </c>
      <c r="H453" s="265">
        <f t="shared" si="902"/>
        <v>11066</v>
      </c>
      <c r="I453" s="265">
        <f t="shared" si="902"/>
        <v>11327</v>
      </c>
      <c r="J453" s="265">
        <f t="shared" si="902"/>
        <v>11333</v>
      </c>
      <c r="K453" s="265">
        <f t="shared" si="902"/>
        <v>11161</v>
      </c>
      <c r="L453" s="993">
        <f t="shared" si="902"/>
        <v>11161</v>
      </c>
      <c r="M453" s="265">
        <f t="shared" si="902"/>
        <v>11124</v>
      </c>
      <c r="N453" s="265">
        <f t="shared" si="902"/>
        <v>11371</v>
      </c>
      <c r="O453" s="265">
        <f t="shared" si="902"/>
        <v>11495</v>
      </c>
      <c r="P453" s="265">
        <f t="shared" si="902"/>
        <v>11315</v>
      </c>
      <c r="Q453" s="993">
        <f t="shared" si="902"/>
        <v>11315</v>
      </c>
      <c r="R453" s="265">
        <f t="shared" si="902"/>
        <v>11526</v>
      </c>
      <c r="S453" s="138">
        <f t="shared" si="902"/>
        <v>11794</v>
      </c>
      <c r="T453" s="138">
        <f t="shared" si="902"/>
        <v>11965</v>
      </c>
      <c r="U453" s="265">
        <f t="shared" si="902"/>
        <v>11740</v>
      </c>
      <c r="V453" s="993">
        <f t="shared" si="902"/>
        <v>11740</v>
      </c>
      <c r="W453" s="265">
        <f t="shared" si="902"/>
        <v>12069</v>
      </c>
      <c r="X453" s="138">
        <f t="shared" si="902"/>
        <v>12387</v>
      </c>
      <c r="Y453" s="138">
        <f t="shared" si="902"/>
        <v>12559</v>
      </c>
      <c r="Z453" s="139">
        <f t="shared" si="902"/>
        <v>12364</v>
      </c>
      <c r="AA453" s="1083">
        <f t="shared" si="902"/>
        <v>12364</v>
      </c>
      <c r="AB453" s="265">
        <f t="shared" si="902"/>
        <v>12647</v>
      </c>
      <c r="AC453" s="138">
        <f t="shared" si="902"/>
        <v>13057</v>
      </c>
      <c r="AD453" s="138">
        <f t="shared" si="902"/>
        <v>13264</v>
      </c>
      <c r="AE453" s="139">
        <f t="shared" si="902"/>
        <v>12977</v>
      </c>
      <c r="AF453" s="1083">
        <f t="shared" si="902"/>
        <v>12977</v>
      </c>
      <c r="AG453" s="265">
        <f t="shared" si="902"/>
        <v>13187</v>
      </c>
      <c r="AH453" s="138">
        <f t="shared" si="902"/>
        <v>13674</v>
      </c>
      <c r="AI453" s="138">
        <f t="shared" si="902"/>
        <v>14055</v>
      </c>
      <c r="AJ453" s="139">
        <f t="shared" si="902"/>
        <v>13915</v>
      </c>
      <c r="AK453" s="1083">
        <f t="shared" si="902"/>
        <v>13915</v>
      </c>
      <c r="AL453" s="265">
        <f t="shared" si="902"/>
        <v>13911</v>
      </c>
      <c r="AM453" s="138">
        <f t="shared" si="902"/>
        <v>14253</v>
      </c>
      <c r="AN453" s="138">
        <f>INDEX(MO_UPR_NUPR,0,COLUMN())</f>
        <v>14640</v>
      </c>
      <c r="AO453" s="139">
        <f t="shared" si="902"/>
        <v>14450</v>
      </c>
      <c r="AP453" s="1083">
        <f t="shared" si="902"/>
        <v>14450</v>
      </c>
      <c r="AQ453" s="265">
        <f t="shared" si="902"/>
        <v>14577</v>
      </c>
      <c r="AR453" s="138">
        <f t="shared" si="903" ref="AR453:AW453">INDEX(MO_UPR_NUPR,0,COLUMN())</f>
        <v>15130</v>
      </c>
      <c r="AS453" s="138">
        <f t="shared" si="903"/>
        <v>15593</v>
      </c>
      <c r="AT453" s="139">
        <f t="shared" si="903"/>
        <v>15567</v>
      </c>
      <c r="AU453" s="1083">
        <f t="shared" si="903"/>
        <v>15567</v>
      </c>
      <c r="AV453" s="265">
        <f t="shared" si="903"/>
        <v>15927</v>
      </c>
      <c r="AW453" s="138">
        <f t="shared" si="903"/>
        <v>16615</v>
      </c>
      <c r="AX453" s="138">
        <f t="shared" si="904" ref="AX453:BJ453">INDEX(MO_UPR_NUPR,0,COLUMN())</f>
        <v>17165</v>
      </c>
      <c r="AY453" s="139">
        <f t="shared" si="904"/>
        <v>17216</v>
      </c>
      <c r="AZ453" s="1083">
        <f t="shared" si="904"/>
        <v>17216</v>
      </c>
      <c r="BA453" s="265">
        <f t="shared" si="905" ref="BA453:BI453">INDEX(MO_UPR_NUPR,0,COLUMN())</f>
        <v>17783</v>
      </c>
      <c r="BB453" s="138">
        <f t="shared" si="905"/>
        <v>18912</v>
      </c>
      <c r="BC453" s="138">
        <f t="shared" si="905"/>
        <v>19669</v>
      </c>
      <c r="BD453" s="139">
        <f t="shared" si="905"/>
        <v>19722</v>
      </c>
      <c r="BE453" s="1083">
        <f t="shared" si="905"/>
        <v>19722</v>
      </c>
      <c r="BF453" s="265">
        <f>INDEX(MO_UPR_NUPR,0,COLUMN())</f>
        <v>19772</v>
      </c>
      <c r="BG453" s="138">
        <f>INDEX(MO_UPR_NUPR,0,COLUMN())</f>
        <v>20645</v>
      </c>
      <c r="BH453" s="813">
        <f>INDEX(MO_UPR_NUPR,0,COLUMN())</f>
        <v>21281</v>
      </c>
      <c r="BI453" s="139">
        <f t="shared" si="905"/>
        <v>21435.481494</v>
      </c>
      <c r="BJ453" s="1083">
        <f t="shared" si="904"/>
        <v>21435.481494</v>
      </c>
      <c r="BK453" s="139">
        <f t="shared" si="906" ref="BK453:BR453">INDEX(MO_UPR_NUPR,0,COLUMN())</f>
        <v>21779.958267999998</v>
      </c>
      <c r="BL453" s="139">
        <f t="shared" si="906"/>
        <v>21951.635332000002</v>
      </c>
      <c r="BM453" s="139">
        <f t="shared" si="906"/>
        <v>22128.060362</v>
      </c>
      <c r="BN453" s="139">
        <f t="shared" si="906"/>
        <v>22288.423171999999</v>
      </c>
      <c r="BO453" s="1083">
        <f t="shared" si="906"/>
        <v>22288.423171999999</v>
      </c>
      <c r="BP453" s="1083">
        <f t="shared" si="906"/>
        <v>23782.909699</v>
      </c>
      <c r="BQ453" s="1083">
        <f t="shared" si="906"/>
        <v>25341.143894000001</v>
      </c>
      <c r="BR453" s="1083">
        <f t="shared" si="906"/>
        <v>26966.427790000002</v>
      </c>
      <c r="BS453" s="833"/>
    </row>
    <row r="454" spans="1:71" s="24" customFormat="1" ht="15">
      <c r="A454" s="60" t="s">
        <v>168</v>
      </c>
      <c r="B454" s="478"/>
      <c r="C454" s="995">
        <f t="shared" si="907" ref="C454:AQ454">INDEX(MO_LR_NLR,0,COLUMN())</f>
        <v>40311</v>
      </c>
      <c r="D454" s="995">
        <f t="shared" si="907"/>
        <v>39612</v>
      </c>
      <c r="E454" s="995">
        <f t="shared" si="907"/>
        <v>40237</v>
      </c>
      <c r="F454" s="995">
        <f t="shared" si="907"/>
        <v>40210</v>
      </c>
      <c r="G454" s="995">
        <f t="shared" si="907"/>
        <v>41182</v>
      </c>
      <c r="H454" s="186">
        <f t="shared" si="907"/>
        <v>40998</v>
      </c>
      <c r="I454" s="186">
        <f t="shared" si="907"/>
        <v>41348</v>
      </c>
      <c r="J454" s="186">
        <f t="shared" si="907"/>
        <v>41123</v>
      </c>
      <c r="K454" s="186">
        <f t="shared" si="907"/>
        <v>40590</v>
      </c>
      <c r="L454" s="995">
        <f t="shared" si="907"/>
        <v>40590</v>
      </c>
      <c r="M454" s="186">
        <f t="shared" si="907"/>
        <v>39852</v>
      </c>
      <c r="N454" s="186">
        <f t="shared" si="907"/>
        <v>39868</v>
      </c>
      <c r="O454" s="186">
        <f t="shared" si="907"/>
        <v>39647</v>
      </c>
      <c r="P454" s="186">
        <f t="shared" si="907"/>
        <v>39385</v>
      </c>
      <c r="Q454" s="995">
        <f t="shared" si="907"/>
        <v>39385</v>
      </c>
      <c r="R454" s="186">
        <f t="shared" si="907"/>
        <v>39837</v>
      </c>
      <c r="S454" s="140">
        <f t="shared" si="907"/>
        <v>39350</v>
      </c>
      <c r="T454" s="140">
        <f t="shared" si="907"/>
        <v>39503</v>
      </c>
      <c r="U454" s="186">
        <f t="shared" si="907"/>
        <v>39662</v>
      </c>
      <c r="V454" s="995">
        <f t="shared" si="907"/>
        <v>39662</v>
      </c>
      <c r="W454" s="186">
        <f t="shared" si="907"/>
        <v>40121</v>
      </c>
      <c r="X454" s="140">
        <f t="shared" si="907"/>
        <v>40424</v>
      </c>
      <c r="Y454" s="140">
        <f t="shared" si="907"/>
        <v>41405</v>
      </c>
      <c r="Z454" s="141">
        <f t="shared" si="907"/>
        <v>41341</v>
      </c>
      <c r="AA454" s="1084">
        <f t="shared" si="907"/>
        <v>41341</v>
      </c>
      <c r="AB454" s="186">
        <f t="shared" si="907"/>
        <v>41512</v>
      </c>
      <c r="AC454" s="140">
        <f t="shared" si="907"/>
        <v>41703</v>
      </c>
      <c r="AD454" s="140">
        <f t="shared" si="907"/>
        <v>42116</v>
      </c>
      <c r="AE454" s="141">
        <f t="shared" si="907"/>
        <v>42298</v>
      </c>
      <c r="AF454" s="1084">
        <f t="shared" si="907"/>
        <v>42298</v>
      </c>
      <c r="AG454" s="186">
        <f t="shared" si="907"/>
        <v>42437</v>
      </c>
      <c r="AH454" s="140">
        <f t="shared" si="907"/>
        <v>42839</v>
      </c>
      <c r="AI454" s="140">
        <f t="shared" si="907"/>
        <v>43450</v>
      </c>
      <c r="AJ454" s="141">
        <f t="shared" si="907"/>
        <v>43614</v>
      </c>
      <c r="AK454" s="1084">
        <f t="shared" si="907"/>
        <v>43614</v>
      </c>
      <c r="AL454" s="186">
        <f t="shared" si="907"/>
        <v>43805</v>
      </c>
      <c r="AM454" s="140">
        <f t="shared" si="907"/>
        <v>45016</v>
      </c>
      <c r="AN454" s="140">
        <f>INDEX(MO_LR_NLR,0,COLUMN())</f>
        <v>46101</v>
      </c>
      <c r="AO454" s="141">
        <f t="shared" si="907"/>
        <v>46171</v>
      </c>
      <c r="AP454" s="1084">
        <f t="shared" si="907"/>
        <v>46171</v>
      </c>
      <c r="AQ454" s="186">
        <f t="shared" si="907"/>
        <v>46995</v>
      </c>
      <c r="AR454" s="140">
        <f t="shared" si="908" ref="AR454:AW454">INDEX(MO_LR_NLR,0,COLUMN())</f>
        <v>47697</v>
      </c>
      <c r="AS454" s="140">
        <f t="shared" si="908"/>
        <v>48476</v>
      </c>
      <c r="AT454" s="141">
        <f t="shared" si="908"/>
        <v>48455</v>
      </c>
      <c r="AU454" s="1084">
        <f t="shared" si="908"/>
        <v>48455</v>
      </c>
      <c r="AV454" s="186">
        <f t="shared" si="908"/>
        <v>48838</v>
      </c>
      <c r="AW454" s="140">
        <f t="shared" si="908"/>
        <v>49474</v>
      </c>
      <c r="AX454" s="140">
        <f t="shared" si="909" ref="AX454:BJ454">INDEX(MO_LR_NLR,0,COLUMN())</f>
        <v>49936</v>
      </c>
      <c r="AY454" s="141">
        <f t="shared" si="909"/>
        <v>50586</v>
      </c>
      <c r="AZ454" s="1084">
        <f t="shared" si="909"/>
        <v>50586</v>
      </c>
      <c r="BA454" s="186">
        <f t="shared" si="910" ref="BA454:BI454">INDEX(MO_LR_NLR,0,COLUMN())</f>
        <v>50973</v>
      </c>
      <c r="BB454" s="140">
        <f t="shared" si="910"/>
        <v>52450</v>
      </c>
      <c r="BC454" s="140">
        <f t="shared" si="910"/>
        <v>53442</v>
      </c>
      <c r="BD454" s="141">
        <f t="shared" si="910"/>
        <v>53484</v>
      </c>
      <c r="BE454" s="1084">
        <f t="shared" si="910"/>
        <v>53484</v>
      </c>
      <c r="BF454" s="186">
        <f>INDEX(MO_LR_NLR,0,COLUMN())</f>
        <v>54387</v>
      </c>
      <c r="BG454" s="140">
        <f>INDEX(MO_LR_NLR,0,COLUMN())</f>
        <v>55725</v>
      </c>
      <c r="BH454" s="814">
        <f>INDEX(MO_LR_NLR,0,COLUMN())</f>
        <v>56671</v>
      </c>
      <c r="BI454" s="141">
        <f t="shared" si="910"/>
        <v>57638.029362000001</v>
      </c>
      <c r="BJ454" s="1084">
        <f t="shared" si="909"/>
        <v>57638.029362000001</v>
      </c>
      <c r="BK454" s="141">
        <f t="shared" si="911" ref="BK454:BR454">INDEX(MO_LR_NLR,0,COLUMN())</f>
        <v>58667.647761</v>
      </c>
      <c r="BL454" s="141">
        <f t="shared" si="911"/>
        <v>59820.693218</v>
      </c>
      <c r="BM454" s="141">
        <f t="shared" si="911"/>
        <v>60975.693490999998</v>
      </c>
      <c r="BN454" s="141">
        <f t="shared" si="911"/>
        <v>61983.380324999998</v>
      </c>
      <c r="BO454" s="1084">
        <f t="shared" si="911"/>
        <v>61983.380324999998</v>
      </c>
      <c r="BP454" s="1084">
        <f t="shared" si="911"/>
        <v>66372.869785000003</v>
      </c>
      <c r="BQ454" s="1084">
        <f t="shared" si="911"/>
        <v>70849.645713999998</v>
      </c>
      <c r="BR454" s="1084">
        <f t="shared" si="911"/>
        <v>75561.403531000004</v>
      </c>
      <c r="BS454" s="833"/>
    </row>
    <row r="455" spans="1:71" s="24" customFormat="1" ht="15">
      <c r="A455" s="62" t="s">
        <v>169</v>
      </c>
      <c r="B455" s="479"/>
      <c r="C455" s="997">
        <f t="shared" si="912" ref="C455:AQ455">ROUND(INDEX(MO_BSS_NUPR,0,COLUMN())+INDEX(MO_BSS_NLR,0,COLUMN()),6)</f>
        <v>50256</v>
      </c>
      <c r="D455" s="997">
        <f t="shared" si="912"/>
        <v>49720</v>
      </c>
      <c r="E455" s="997">
        <f t="shared" si="912"/>
        <v>50511</v>
      </c>
      <c r="F455" s="997">
        <f t="shared" si="912"/>
        <v>50595</v>
      </c>
      <c r="G455" s="997">
        <f t="shared" si="912"/>
        <v>52231</v>
      </c>
      <c r="H455" s="193">
        <f t="shared" si="912"/>
        <v>52064</v>
      </c>
      <c r="I455" s="193">
        <f t="shared" si="912"/>
        <v>52675</v>
      </c>
      <c r="J455" s="193">
        <f t="shared" si="912"/>
        <v>52456</v>
      </c>
      <c r="K455" s="193">
        <f t="shared" si="912"/>
        <v>51751</v>
      </c>
      <c r="L455" s="997">
        <f t="shared" si="912"/>
        <v>51751</v>
      </c>
      <c r="M455" s="193">
        <f t="shared" si="912"/>
        <v>50976</v>
      </c>
      <c r="N455" s="193">
        <f t="shared" si="912"/>
        <v>51239</v>
      </c>
      <c r="O455" s="193">
        <f t="shared" si="912"/>
        <v>51142</v>
      </c>
      <c r="P455" s="193">
        <f t="shared" si="912"/>
        <v>50700</v>
      </c>
      <c r="Q455" s="997">
        <f t="shared" si="912"/>
        <v>50700</v>
      </c>
      <c r="R455" s="193">
        <f t="shared" si="912"/>
        <v>51363</v>
      </c>
      <c r="S455" s="340">
        <f t="shared" si="912"/>
        <v>51144</v>
      </c>
      <c r="T455" s="340">
        <f t="shared" si="912"/>
        <v>51468</v>
      </c>
      <c r="U455" s="193">
        <f t="shared" si="912"/>
        <v>51402</v>
      </c>
      <c r="V455" s="997">
        <f t="shared" si="912"/>
        <v>51402</v>
      </c>
      <c r="W455" s="193">
        <f t="shared" si="912"/>
        <v>52190</v>
      </c>
      <c r="X455" s="340">
        <f t="shared" si="912"/>
        <v>52811</v>
      </c>
      <c r="Y455" s="340">
        <f t="shared" si="912"/>
        <v>53964</v>
      </c>
      <c r="Z455" s="341">
        <f t="shared" si="912"/>
        <v>53705</v>
      </c>
      <c r="AA455" s="1000">
        <f t="shared" si="912"/>
        <v>53705</v>
      </c>
      <c r="AB455" s="193">
        <f t="shared" si="912"/>
        <v>54159</v>
      </c>
      <c r="AC455" s="340">
        <f t="shared" si="912"/>
        <v>54760</v>
      </c>
      <c r="AD455" s="340">
        <f t="shared" si="912"/>
        <v>55380</v>
      </c>
      <c r="AE455" s="341">
        <f t="shared" si="912"/>
        <v>55275</v>
      </c>
      <c r="AF455" s="1000">
        <f t="shared" si="912"/>
        <v>55275</v>
      </c>
      <c r="AG455" s="193">
        <f t="shared" si="912"/>
        <v>55624</v>
      </c>
      <c r="AH455" s="340">
        <f t="shared" si="912"/>
        <v>56513</v>
      </c>
      <c r="AI455" s="340">
        <f t="shared" si="912"/>
        <v>57505</v>
      </c>
      <c r="AJ455" s="341">
        <f t="shared" si="912"/>
        <v>57529</v>
      </c>
      <c r="AK455" s="1000">
        <f t="shared" si="912"/>
        <v>57529</v>
      </c>
      <c r="AL455" s="193">
        <f t="shared" si="912"/>
        <v>57716</v>
      </c>
      <c r="AM455" s="340">
        <f t="shared" si="912"/>
        <v>59269</v>
      </c>
      <c r="AN455" s="340">
        <f>ROUND(INDEX(MO_BSS_NUPR,0,COLUMN())+INDEX(MO_BSS_NLR,0,COLUMN()),6)</f>
        <v>60741</v>
      </c>
      <c r="AO455" s="341">
        <f t="shared" si="912"/>
        <v>60621</v>
      </c>
      <c r="AP455" s="1000">
        <f t="shared" si="912"/>
        <v>60621</v>
      </c>
      <c r="AQ455" s="193">
        <f t="shared" si="912"/>
        <v>61572</v>
      </c>
      <c r="AR455" s="340">
        <f t="shared" si="913" ref="AR455:AW455">ROUND(INDEX(MO_BSS_NUPR,0,COLUMN())+INDEX(MO_BSS_NLR,0,COLUMN()),6)</f>
        <v>62827</v>
      </c>
      <c r="AS455" s="340">
        <f t="shared" si="913"/>
        <v>64069</v>
      </c>
      <c r="AT455" s="341">
        <f t="shared" si="913"/>
        <v>64022</v>
      </c>
      <c r="AU455" s="1000">
        <f t="shared" si="913"/>
        <v>64022</v>
      </c>
      <c r="AV455" s="193">
        <f t="shared" si="913"/>
        <v>64765</v>
      </c>
      <c r="AW455" s="340">
        <f t="shared" si="913"/>
        <v>66089</v>
      </c>
      <c r="AX455" s="340">
        <f t="shared" si="914" ref="AX455:BJ455">ROUND(INDEX(MO_BSS_NUPR,0,COLUMN())+INDEX(MO_BSS_NLR,0,COLUMN()),6)</f>
        <v>67101</v>
      </c>
      <c r="AY455" s="341">
        <f t="shared" si="914"/>
        <v>67802</v>
      </c>
      <c r="AZ455" s="1000">
        <f t="shared" si="914"/>
        <v>67802</v>
      </c>
      <c r="BA455" s="193">
        <f t="shared" si="915" ref="BA455:BI455">ROUND(INDEX(MO_BSS_NUPR,0,COLUMN())+INDEX(MO_BSS_NLR,0,COLUMN()),6)</f>
        <v>68756</v>
      </c>
      <c r="BB455" s="340">
        <f t="shared" si="915"/>
        <v>71362</v>
      </c>
      <c r="BC455" s="340">
        <f t="shared" si="915"/>
        <v>73111</v>
      </c>
      <c r="BD455" s="341">
        <f t="shared" si="915"/>
        <v>73206</v>
      </c>
      <c r="BE455" s="1000">
        <f t="shared" si="915"/>
        <v>73206</v>
      </c>
      <c r="BF455" s="193">
        <f>ROUND(INDEX(MO_BSS_NUPR,0,COLUMN())+INDEX(MO_BSS_NLR,0,COLUMN()),6)</f>
        <v>74159</v>
      </c>
      <c r="BG455" s="340">
        <f>ROUND(INDEX(MO_BSS_NUPR,0,COLUMN())+INDEX(MO_BSS_NLR,0,COLUMN()),6)</f>
        <v>76370</v>
      </c>
      <c r="BH455" s="815">
        <f>ROUND(INDEX(MO_BSS_NUPR,0,COLUMN())+INDEX(MO_BSS_NLR,0,COLUMN()),6)</f>
        <v>77952</v>
      </c>
      <c r="BI455" s="341">
        <f t="shared" si="915"/>
        <v>79073.510855999994</v>
      </c>
      <c r="BJ455" s="1000">
        <f t="shared" si="914"/>
        <v>79073.510855999994</v>
      </c>
      <c r="BK455" s="341">
        <f t="shared" si="916" ref="BK455:BR455">ROUND(INDEX(MO_BSS_NUPR,0,COLUMN())+INDEX(MO_BSS_NLR,0,COLUMN()),6)</f>
        <v>80447.606029000002</v>
      </c>
      <c r="BL455" s="341">
        <f t="shared" si="916"/>
        <v>81772.328550000006</v>
      </c>
      <c r="BM455" s="341">
        <f t="shared" si="916"/>
        <v>83103.753853000002</v>
      </c>
      <c r="BN455" s="341">
        <f t="shared" si="916"/>
        <v>84271.803497000001</v>
      </c>
      <c r="BO455" s="1000">
        <f t="shared" si="916"/>
        <v>84271.803497000001</v>
      </c>
      <c r="BP455" s="1000">
        <f t="shared" si="916"/>
        <v>90155.779483999999</v>
      </c>
      <c r="BQ455" s="1000">
        <f t="shared" si="916"/>
        <v>96190.789608000006</v>
      </c>
      <c r="BR455" s="1000">
        <f t="shared" si="916"/>
        <v>102527.83132100001</v>
      </c>
      <c r="BS455" s="833"/>
    </row>
    <row r="456" spans="1:71" s="24" customFormat="1" ht="15">
      <c r="A456" s="466"/>
      <c r="B456" s="462"/>
      <c r="C456" s="1011"/>
      <c r="D456" s="1011"/>
      <c r="E456" s="1011"/>
      <c r="F456" s="1011"/>
      <c r="G456" s="1011"/>
      <c r="H456" s="857"/>
      <c r="I456" s="857"/>
      <c r="J456" s="857"/>
      <c r="K456" s="857"/>
      <c r="L456" s="1011"/>
      <c r="M456" s="857"/>
      <c r="N456" s="857"/>
      <c r="O456" s="857"/>
      <c r="P456" s="857"/>
      <c r="Q456" s="1011"/>
      <c r="R456" s="857"/>
      <c r="S456" s="873"/>
      <c r="T456" s="873"/>
      <c r="U456" s="857"/>
      <c r="V456" s="1011"/>
      <c r="W456" s="857"/>
      <c r="X456" s="873"/>
      <c r="Y456" s="873"/>
      <c r="Z456" s="873"/>
      <c r="AA456" s="1085"/>
      <c r="AB456" s="857"/>
      <c r="AC456" s="873"/>
      <c r="AD456" s="873"/>
      <c r="AE456" s="873"/>
      <c r="AF456" s="1085"/>
      <c r="AG456" s="857"/>
      <c r="AH456" s="873"/>
      <c r="AI456" s="873"/>
      <c r="AJ456" s="873"/>
      <c r="AK456" s="1085"/>
      <c r="AL456" s="857"/>
      <c r="AM456" s="873"/>
      <c r="AN456" s="873"/>
      <c r="AO456" s="873"/>
      <c r="AP456" s="1085"/>
      <c r="AQ456" s="857"/>
      <c r="AR456" s="873"/>
      <c r="AS456" s="873"/>
      <c r="AT456" s="873"/>
      <c r="AU456" s="1085"/>
      <c r="AV456" s="857"/>
      <c r="AW456" s="873"/>
      <c r="AX456" s="873"/>
      <c r="AY456" s="873"/>
      <c r="AZ456" s="1085"/>
      <c r="BA456" s="857"/>
      <c r="BB456" s="873"/>
      <c r="BC456" s="873"/>
      <c r="BD456" s="873"/>
      <c r="BE456" s="1085"/>
      <c r="BF456" s="857"/>
      <c r="BG456" s="873"/>
      <c r="BH456" s="875"/>
      <c r="BI456" s="873"/>
      <c r="BJ456" s="1085"/>
      <c r="BK456" s="873"/>
      <c r="BL456" s="873"/>
      <c r="BM456" s="873"/>
      <c r="BN456" s="873"/>
      <c r="BO456" s="1085"/>
      <c r="BP456" s="1085"/>
      <c r="BQ456" s="1085"/>
      <c r="BR456" s="1085"/>
      <c r="BS456" s="833"/>
    </row>
    <row r="457" spans="1:71" s="182" customFormat="1" ht="15">
      <c r="A457" s="84" t="s">
        <v>360</v>
      </c>
      <c r="B457" s="466"/>
      <c r="C457" s="1024">
        <f>INDEX(MO_BSS_NTR,0,COLUMN())/INDEX(MO_UI_NWP,0,COLUMN())/(C$3/C$3)</f>
        <v>2.3554555680539933</v>
      </c>
      <c r="D457" s="1024">
        <f>INDEX(MO_BSS_NTR,0,COLUMN())/INDEX(MO_UI_NWP,0,COLUMN())/(D$3/D$3)</f>
        <v>2.2981280332794083</v>
      </c>
      <c r="E457" s="1024">
        <f>INDEX(MO_BSS_NTR,0,COLUMN())/INDEX(MO_UI_NWP,0,COLUMN())/(E$3/E$3)</f>
        <v>2.2766034164150177</v>
      </c>
      <c r="F457" s="1024">
        <f>INDEX(MO_BSS_NTR,0,COLUMN())/INDEX(MO_UI_NWP,0,COLUMN())/(F$3/F$3)</f>
        <v>2.2539760324319507</v>
      </c>
      <c r="G457" s="1024">
        <f>INDEX(MO_BSS_NTR,0,COLUMN())/INDEX(MO_UI_NWP,0,COLUMN())/(G$3/G$3)</f>
        <v>2.2941538191241708</v>
      </c>
      <c r="H457" s="662">
        <f>INDEX(MO_BSS_NTR,0,COLUMN())/INDEX(MO_UI_NWP,0,COLUMN())/(L$3/H$3)</f>
        <v>2.185884323197171</v>
      </c>
      <c r="I457" s="662">
        <f>INDEX(MO_BSS_NTR,0,COLUMN())/INDEX(MO_UI_NWP,0,COLUMN())/(L$3/I$3)</f>
        <v>2.1291620027361726</v>
      </c>
      <c r="J457" s="662">
        <f>INDEX(MO_BSS_NTR,0,COLUMN())/INDEX(MO_UI_NWP,0,COLUMN())/(L$3/J$3)</f>
        <v>2.1915773746676384</v>
      </c>
      <c r="K457" s="662">
        <f>INDEX(MO_BSS_NTR,0,COLUMN())/INDEX(MO_UI_NWP,0,COLUMN())/(L$3/K$3)</f>
        <v>2.2351075516163257</v>
      </c>
      <c r="L457" s="1024">
        <f>INDEX(MO_BSS_NTR,0,COLUMN())/INDEX(MO_UI_NWP,0,COLUMN())/(L$3/L$3)</f>
        <v>2.1644081974069427</v>
      </c>
      <c r="M457" s="662">
        <f>INDEX(MO_BSS_NTR,0,COLUMN())/INDEX(MO_UI_NWP,0,COLUMN())/(Q$3/M$3)</f>
        <v>2.1314947698040099</v>
      </c>
      <c r="N457" s="662">
        <f>INDEX(MO_BSS_NTR,0,COLUMN())/INDEX(MO_UI_NWP,0,COLUMN())/(Q$3/N$3)</f>
        <v>2.0707821031805071</v>
      </c>
      <c r="O457" s="662">
        <f>INDEX(MO_BSS_NTR,0,COLUMN())/INDEX(MO_UI_NWP,0,COLUMN())/(Q$3/O$3)</f>
        <v>2.0821492975884124</v>
      </c>
      <c r="P457" s="662">
        <f>INDEX(MO_BSS_NTR,0,COLUMN())/INDEX(MO_UI_NWP,0,COLUMN())/(Q$3/P$3)</f>
        <v>2.1792595638116952</v>
      </c>
      <c r="Q457" s="1024">
        <f>INDEX(MO_BSS_NTR,0,COLUMN())/INDEX(MO_UI_NWP,0,COLUMN())/(Q$3/Q$3)</f>
        <v>2.1019029061813357</v>
      </c>
      <c r="R457" s="662">
        <f>INDEX(MO_BSS_NTR,0,COLUMN())/INDEX(MO_UI_NWP,0,COLUMN())/(V$3/R$3)</f>
        <v>2.0711290897199346</v>
      </c>
      <c r="S457" s="662">
        <f>INDEX(MO_BSS_NTR,0,COLUMN())/INDEX(MO_UI_NWP,0,COLUMN())/(V$3/S$3)</f>
        <v>2.0041183841672159</v>
      </c>
      <c r="T457" s="662">
        <f>INDEX(MO_BSS_NTR,0,COLUMN())/INDEX(MO_UI_NWP,0,COLUMN())/(V$3/T$3)</f>
        <v>2.0249352755376169</v>
      </c>
      <c r="U457" s="662">
        <f>INDEX(MO_BSS_NTR,0,COLUMN())/INDEX(MO_UI_NWP,0,COLUMN())/(V$3/U$3)</f>
        <v>2.1328361359318935</v>
      </c>
      <c r="V457" s="1024">
        <f>INDEX(MO_BSS_NTR,0,COLUMN())/INDEX(MO_UI_NWP,0,COLUMN())/(V$3/V$3)</f>
        <v>2.0595400272457729</v>
      </c>
      <c r="W457" s="662">
        <f>INDEX(MO_BSS_NTR,0,COLUMN())/INDEX(MO_UI_NWP,0,COLUMN())/(AA$3/W$3)</f>
        <v>1.9813344300673859</v>
      </c>
      <c r="X457" s="662">
        <f>INDEX(MO_BSS_NTR,0,COLUMN())/INDEX(MO_UI_NWP,0,COLUMN())/(AA$3/X$3)</f>
        <v>1.9829183858722561</v>
      </c>
      <c r="Y457" s="662">
        <f>INDEX(MO_BSS_NTR,0,COLUMN())/INDEX(MO_UI_NWP,0,COLUMN())/(AA$3/Y$3)</f>
        <v>2.042325064790818</v>
      </c>
      <c r="Z457" s="136">
        <f>INDEX(MO_BSS_NTR,0,COLUMN())/INDEX(MO_UI_NWP,0,COLUMN())/(AA$3/Z$3)</f>
        <v>2.1071922073047986</v>
      </c>
      <c r="AA457" s="1024">
        <f>INDEX(MO_BSS_NTR,0,COLUMN())/INDEX(MO_UI_NWP,0,COLUMN())/(AA$3/AA$3)</f>
        <v>2.0483237346962127</v>
      </c>
      <c r="AB457" s="662">
        <f>INDEX(MO_BSS_NTR,0,COLUMN())/INDEX(MO_UI_NWP,0,COLUMN())/(AF$3/AB$3)</f>
        <v>1.9569569127495223</v>
      </c>
      <c r="AC457" s="662">
        <f>INDEX(MO_BSS_NTR,0,COLUMN())/INDEX(MO_UI_NWP,0,COLUMN())/(AF$3/AC$3)</f>
        <v>1.9145271561751411</v>
      </c>
      <c r="AD457" s="662">
        <f>INDEX(MO_BSS_NTR,0,COLUMN())/INDEX(MO_UI_NWP,0,COLUMN())/(AF$3/AD$3)</f>
        <v>1.9766064175230735</v>
      </c>
      <c r="AE457" s="136">
        <f>INDEX(MO_BSS_NTR,0,COLUMN())/INDEX(MO_UI_NWP,0,COLUMN())/(AF$3/AE$3)</f>
        <v>2.0822491058322057</v>
      </c>
      <c r="AF457" s="1024">
        <f>INDEX(MO_BSS_NTR,0,COLUMN())/INDEX(MO_UI_NWP,0,COLUMN())/(AF$3/AF$3)</f>
        <v>1.9949112169770464</v>
      </c>
      <c r="AG457" s="662">
        <f>INDEX(MO_BSS_NTR,0,COLUMN())/INDEX(MO_UI_NWP,0,COLUMN())/(AK$3/AG$3)</f>
        <v>1.943532216142138</v>
      </c>
      <c r="AH457" s="662">
        <f>INDEX(MO_BSS_NTR,0,COLUMN())/INDEX(MO_UI_NWP,0,COLUMN())/(AK$3/AH$3)</f>
        <v>1.8912137537924059</v>
      </c>
      <c r="AI457" s="662">
        <f>INDEX(MO_BSS_NTR,0,COLUMN())/INDEX(MO_UI_NWP,0,COLUMN())/(AK$3/AI$3)</f>
        <v>1.914970400172296</v>
      </c>
      <c r="AJ457" s="136">
        <f>INDEX(MO_BSS_NTR,0,COLUMN())/INDEX(MO_UI_NWP,0,COLUMN())/(AK$3/AJ$3)</f>
        <v>2.0495350210561982</v>
      </c>
      <c r="AK457" s="1024">
        <f>INDEX(MO_BSS_NTR,0,COLUMN())/INDEX(MO_UI_NWP,0,COLUMN())/(AK$3/AK$3)</f>
        <v>1.9734828993859559</v>
      </c>
      <c r="AL457" s="662">
        <f>INDEX(MO_BSS_NTR,0,COLUMN())/INDEX(MO_UI_NWP,0,COLUMN())/(AP$3/AL$3)</f>
        <v>1.953464879589502</v>
      </c>
      <c r="AM457" s="662">
        <f>INDEX(MO_BSS_NTR,0,COLUMN())/INDEX(MO_UI_NWP,0,COLUMN())/(AP$3/AM$3)</f>
        <v>2.0060279636217029</v>
      </c>
      <c r="AN457" s="662">
        <f>INDEX(MO_BSS_NTR,0,COLUMN())/INDEX(MO_UI_NWP,0,COLUMN())/(AP$3/AN$3)</f>
        <v>1.9647702365457111</v>
      </c>
      <c r="AO457" s="136">
        <f>INDEX(MO_BSS_NTR,0,COLUMN())/INDEX(MO_UI_NWP,0,COLUMN())/(AP$3/AO$3)</f>
        <v>2.096308374435341</v>
      </c>
      <c r="AP457" s="1024">
        <f>INDEX(MO_BSS_NTR,0,COLUMN())/INDEX(MO_UI_NWP,0,COLUMN())/(AP$3/AP$3)</f>
        <v>2.038914301089735</v>
      </c>
      <c r="AQ457" s="662">
        <f>INDEX(MO_BSS_NTR,0,COLUMN())/INDEX(MO_UI_NWP,0,COLUMN())/(AU$3/AQ$3)</f>
        <v>2.0229363073019813</v>
      </c>
      <c r="AR457" s="662">
        <f>INDEX(MO_BSS_NTR,0,COLUMN())/INDEX(MO_UI_NWP,0,COLUMN())/(AU$3/AR$3)</f>
        <v>1.925472379621288</v>
      </c>
      <c r="AS457" s="662">
        <f>INDEX(MO_BSS_NTR,0,COLUMN())/INDEX(MO_UI_NWP,0,COLUMN())/(AU$3/AS$3)</f>
        <v>1.9400406811793591</v>
      </c>
      <c r="AT457" s="136">
        <f>INDEX(MO_BSS_NTR,0,COLUMN())/INDEX(MO_UI_NWP,0,COLUMN())/(AU$3/AT$3)</f>
        <v>2.0166273500118117</v>
      </c>
      <c r="AU457" s="1024">
        <f>INDEX(MO_BSS_NTR,0,COLUMN())/INDEX(MO_UI_NWP,0,COLUMN())/(AU$3/AU$3)</f>
        <v>2.0028154914596761</v>
      </c>
      <c r="AV457" s="662">
        <f>INDEX(MO_BSS_NTR,0,COLUMN())/INDEX(MO_UI_NWP,0,COLUMN())/(AZ$3/AV$3)</f>
        <v>1.9086234080069944</v>
      </c>
      <c r="AW457" s="662">
        <f>INDEX(MO_BSS_NTR,0,COLUMN())/INDEX(MO_UI_NWP,0,COLUMN())/(AZ$3/AW$3)</f>
        <v>1.8267165811135073</v>
      </c>
      <c r="AX457" s="662">
        <f>INDEX(MO_BSS_NTR,0,COLUMN())/INDEX(MO_UI_NWP,0,COLUMN())/(AZ$3/AX$3)</f>
        <v>1.8387832971432145</v>
      </c>
      <c r="AY457" s="136">
        <f>INDEX(MO_BSS_NTR,0,COLUMN())/INDEX(MO_UI_NWP,0,COLUMN())/(AZ$3/AY$3)</f>
        <v>1.9356460729507523</v>
      </c>
      <c r="AZ457" s="1024">
        <f>INDEX(MO_BSS_NTR,0,COLUMN())/INDEX(MO_UI_NWP,0,COLUMN())/(AZ$3/AZ$3)</f>
        <v>1.914553566386175</v>
      </c>
      <c r="BA457" s="662">
        <f>INDEX(MO_BSS_NTR,0,COLUMN())/INDEX(MO_UI_NWP,0,COLUMN())/(BE$3/BA$3)</f>
        <v>1.8043352752847321</v>
      </c>
      <c r="BB457" s="662">
        <f>INDEX(MO_BSS_NTR,0,COLUMN())/INDEX(MO_UI_NWP,0,COLUMN())/(BE$3/BB$3)</f>
        <v>1.7243285440791063</v>
      </c>
      <c r="BC457" s="662">
        <f>INDEX(MO_BSS_NTR,0,COLUMN())/INDEX(MO_UI_NWP,0,COLUMN())/(BE$3/BC$3)</f>
        <v>1.7562163425323338</v>
      </c>
      <c r="BD457" s="136">
        <f>INDEX(MO_BSS_NTR,0,COLUMN())/INDEX(MO_UI_NWP,0,COLUMN())/(BE$3/BD$3)</f>
        <v>1.8463001088324227</v>
      </c>
      <c r="BE457" s="1024">
        <f>INDEX(MO_BSS_NTR,0,COLUMN())/INDEX(MO_UI_NWP,0,COLUMN())/(BE$3/BE$3)</f>
        <v>1.8209994776249347</v>
      </c>
      <c r="BF457" s="662">
        <f>INDEX(MO_BSS_NTR,0,COLUMN())/INDEX(MO_UI_NWP,0,COLUMN())/(BJ$3/BF$3)</f>
        <v>1.8105302327877439</v>
      </c>
      <c r="BG457" s="662">
        <f>INDEX(MO_BSS_NTR,0,COLUMN())/INDEX(MO_UI_NWP,0,COLUMN())/(BJ$3/BG$3)</f>
        <v>1.7083373278368965</v>
      </c>
      <c r="BH457" s="760">
        <f>INDEX(MO_BSS_NTR,0,COLUMN())/INDEX(MO_UI_NWP,0,COLUMN())/(BJ$3/BH$3)</f>
        <v>1.7314210305980993</v>
      </c>
      <c r="BI457" s="136">
        <f>INDEX(MO_BSS_NTR,0,COLUMN())/INDEX(MO_UI_NWP,0,COLUMN())/(BJ$3/BI$3)</f>
        <v>1.9215421125281691</v>
      </c>
      <c r="BJ457" s="1022">
        <f>INDEX(MO_BSS_NTR,0,COLUMN())/INDEX(MO_UI_NWP,0,COLUMN())/(BJ$3/BJ$3)</f>
        <v>1.8406317404528665</v>
      </c>
      <c r="BK457" s="136">
        <f>INDEX(MO_BSS_NTR,0,COLUMN())/INDEX(MO_UI_NWP,0,COLUMN())/(BO$3/BK$3)</f>
        <v>1.7788995895484294</v>
      </c>
      <c r="BL457" s="136">
        <f>INDEX(MO_BSS_NTR,0,COLUMN())/INDEX(MO_UI_NWP,0,COLUMN())/(BO$3/BL$3)</f>
        <v>1.7364119933558757</v>
      </c>
      <c r="BM457" s="136">
        <f>INDEX(MO_BSS_NTR,0,COLUMN())/INDEX(MO_UI_NWP,0,COLUMN())/(BO$3/BM$3)</f>
        <v>1.7408092636368955</v>
      </c>
      <c r="BN457" s="136">
        <f>INDEX(MO_BSS_NTR,0,COLUMN())/INDEX(MO_UI_NWP,0,COLUMN())/(BO$3/BN$3)</f>
        <v>1.9706029929085609</v>
      </c>
      <c r="BO457" s="1022">
        <f>INDEX(MO_BSS_NTR,0,COLUMN())/INDEX(MO_UI_NWP,0,COLUMN())/(BO$3/BO$3)</f>
        <v>1.8438773614154849</v>
      </c>
      <c r="BP457" s="1022">
        <f>INDEX(MO_BSS_NTR,0,COLUMN())/INDEX(MO_UI_NWP,0,COLUMN())/(BP3/BP3)</f>
        <v>1.9366794539298779</v>
      </c>
      <c r="BQ457" s="1022">
        <f>INDEX(MO_BSS_NTR,0,COLUMN())/INDEX(MO_UI_NWP,0,COLUMN())/(BQ3/BQ3)</f>
        <v>1.9945244645250035</v>
      </c>
      <c r="BR457" s="1022">
        <f>INDEX(MO_BSS_NTR,0,COLUMN())/INDEX(MO_UI_NWP,0,COLUMN())/(BR3/BR3)</f>
        <v>2.0511851946806665</v>
      </c>
      <c r="BS457" s="662"/>
    </row>
    <row r="458" spans="1:71" s="182" customFormat="1" ht="15">
      <c r="A458" s="84" t="s">
        <v>361</v>
      </c>
      <c r="B458" s="466"/>
      <c r="C458" s="1024">
        <f>C498/C26</f>
        <v>1.087129733783277</v>
      </c>
      <c r="D458" s="1024">
        <f>D498/D26</f>
        <v>0.92747862260226488</v>
      </c>
      <c r="E458" s="1024">
        <f>E498/E26</f>
        <v>0.86419975661423354</v>
      </c>
      <c r="F458" s="1024">
        <f>F498/F26</f>
        <v>0.89312603020448167</v>
      </c>
      <c r="G458" s="1024">
        <f>G498/G26</f>
        <v>0.92779022269073663</v>
      </c>
      <c r="H458" s="663"/>
      <c r="I458" s="663"/>
      <c r="J458" s="663"/>
      <c r="K458" s="663"/>
      <c r="L458" s="1024">
        <f>L498/L26</f>
        <v>0.88034295273943952</v>
      </c>
      <c r="M458" s="663"/>
      <c r="N458" s="663"/>
      <c r="O458" s="663"/>
      <c r="P458" s="663"/>
      <c r="Q458" s="1024">
        <f>Q498/Q26</f>
        <v>0.85265950831225901</v>
      </c>
      <c r="R458" s="663"/>
      <c r="S458" s="136"/>
      <c r="T458" s="136"/>
      <c r="U458" s="663"/>
      <c r="V458" s="1024">
        <f>V498/V26</f>
        <v>0.83175735235195125</v>
      </c>
      <c r="W458" s="663"/>
      <c r="X458" s="136"/>
      <c r="Y458" s="136"/>
      <c r="Z458" s="136"/>
      <c r="AA458" s="1023">
        <f>AA498/AA26</f>
        <v>0.77989244441054195</v>
      </c>
      <c r="AB458" s="663"/>
      <c r="AC458" s="136"/>
      <c r="AD458" s="136"/>
      <c r="AE458" s="136"/>
      <c r="AF458" s="1023">
        <f>AF498/AF26</f>
        <v>0.74974736538183917</v>
      </c>
      <c r="AG458" s="663"/>
      <c r="AH458" s="136"/>
      <c r="AI458" s="136"/>
      <c r="AJ458" s="136"/>
      <c r="AK458" s="1023">
        <f>AK498/AK26</f>
        <v>0.73170731707317072</v>
      </c>
      <c r="AL458" s="663"/>
      <c r="AM458" s="136"/>
      <c r="AN458" s="136"/>
      <c r="AO458" s="136"/>
      <c r="AP458" s="1023">
        <f>AP498/AP26</f>
        <v>0.74599757836674285</v>
      </c>
      <c r="AQ458" s="663"/>
      <c r="AR458" s="136"/>
      <c r="AS458" s="136"/>
      <c r="AT458" s="136"/>
      <c r="AU458" s="1023">
        <f>AU498/AU26</f>
        <v>0.74785709816680224</v>
      </c>
      <c r="AV458" s="663"/>
      <c r="AW458" s="136"/>
      <c r="AX458" s="136"/>
      <c r="AY458" s="136"/>
      <c r="AZ458" s="1023">
        <f>AZ498/AZ26</f>
        <v>0.66857739876884847</v>
      </c>
      <c r="BA458" s="663"/>
      <c r="BB458" s="136"/>
      <c r="BC458" s="136"/>
      <c r="BD458" s="136"/>
      <c r="BE458" s="1023">
        <f>BE498/BE26</f>
        <v>0.62471082808885348</v>
      </c>
      <c r="BF458" s="663"/>
      <c r="BG458" s="136"/>
      <c r="BH458" s="816"/>
      <c r="BI458" s="136"/>
      <c r="BJ458" s="1023"/>
      <c r="BK458" s="136"/>
      <c r="BL458" s="136"/>
      <c r="BM458" s="136"/>
      <c r="BN458" s="136"/>
      <c r="BO458" s="1023"/>
      <c r="BP458" s="1023"/>
      <c r="BQ458" s="1023"/>
      <c r="BR458" s="1023"/>
      <c r="BS458" s="662"/>
    </row>
    <row r="459" spans="1:71" s="182" customFormat="1" ht="15">
      <c r="A459" s="498"/>
      <c r="B459" s="466"/>
      <c r="C459" s="1022"/>
      <c r="D459" s="1022"/>
      <c r="E459" s="1022"/>
      <c r="F459" s="1022"/>
      <c r="G459" s="1022"/>
      <c r="H459" s="663"/>
      <c r="I459" s="663"/>
      <c r="J459" s="663"/>
      <c r="K459" s="663"/>
      <c r="L459" s="1022"/>
      <c r="M459" s="663"/>
      <c r="N459" s="663"/>
      <c r="O459" s="663"/>
      <c r="P459" s="663"/>
      <c r="Q459" s="1022"/>
      <c r="R459" s="663"/>
      <c r="S459" s="663"/>
      <c r="T459" s="663"/>
      <c r="U459" s="663"/>
      <c r="V459" s="1022"/>
      <c r="W459" s="663"/>
      <c r="X459" s="663"/>
      <c r="Y459" s="663"/>
      <c r="Z459" s="663"/>
      <c r="AA459" s="1022"/>
      <c r="AB459" s="663"/>
      <c r="AC459" s="663"/>
      <c r="AD459" s="663"/>
      <c r="AE459" s="663"/>
      <c r="AF459" s="1022"/>
      <c r="AG459" s="663"/>
      <c r="AH459" s="663"/>
      <c r="AI459" s="663"/>
      <c r="AJ459" s="663"/>
      <c r="AK459" s="1022"/>
      <c r="AL459" s="663"/>
      <c r="AM459" s="663"/>
      <c r="AN459" s="663"/>
      <c r="AO459" s="663"/>
      <c r="AP459" s="1022"/>
      <c r="AQ459" s="663"/>
      <c r="AR459" s="663"/>
      <c r="AS459" s="663"/>
      <c r="AT459" s="663"/>
      <c r="AU459" s="1022"/>
      <c r="AV459" s="663"/>
      <c r="AW459" s="663"/>
      <c r="AX459" s="663"/>
      <c r="AY459" s="663"/>
      <c r="AZ459" s="1022"/>
      <c r="BA459" s="663"/>
      <c r="BB459" s="663"/>
      <c r="BC459" s="663"/>
      <c r="BD459" s="663"/>
      <c r="BE459" s="1022"/>
      <c r="BF459" s="663"/>
      <c r="BG459" s="663"/>
      <c r="BH459" s="759"/>
      <c r="BI459" s="663"/>
      <c r="BJ459" s="1022"/>
      <c r="BK459" s="663"/>
      <c r="BL459" s="663"/>
      <c r="BM459" s="663"/>
      <c r="BN459" s="663"/>
      <c r="BO459" s="1022"/>
      <c r="BP459" s="1022"/>
      <c r="BQ459" s="1022"/>
      <c r="BR459" s="1022"/>
      <c r="BS459" s="662"/>
    </row>
    <row r="460" spans="1:71" s="182" customFormat="1" ht="15" hidden="1" outlineLevel="1">
      <c r="A460" s="423" t="s">
        <v>170</v>
      </c>
      <c r="B460" s="459"/>
      <c r="C460" s="1009">
        <f t="shared" si="917" ref="C460:AM460">C661</f>
        <v>27415</v>
      </c>
      <c r="D460" s="1009">
        <f t="shared" si="917"/>
        <v>25475</v>
      </c>
      <c r="E460" s="1009">
        <f t="shared" si="917"/>
        <v>24477</v>
      </c>
      <c r="F460" s="1009">
        <f t="shared" si="917"/>
        <v>25405</v>
      </c>
      <c r="G460" s="1009">
        <f t="shared" si="917"/>
        <v>24796</v>
      </c>
      <c r="H460" s="199">
        <f t="shared" si="917"/>
        <v>25387</v>
      </c>
      <c r="I460" s="199">
        <f t="shared" si="917"/>
        <v>25532</v>
      </c>
      <c r="J460" s="199">
        <f t="shared" si="917"/>
        <v>25321</v>
      </c>
      <c r="K460" s="199">
        <f t="shared" si="917"/>
        <v>24836</v>
      </c>
      <c r="L460" s="1009">
        <f t="shared" si="917"/>
        <v>24836</v>
      </c>
      <c r="M460" s="199">
        <f t="shared" si="917"/>
        <v>24847</v>
      </c>
      <c r="N460" s="199">
        <f t="shared" si="917"/>
        <v>24121</v>
      </c>
      <c r="O460" s="199">
        <f t="shared" si="917"/>
        <v>24033</v>
      </c>
      <c r="P460" s="199">
        <f t="shared" si="917"/>
        <v>23598</v>
      </c>
      <c r="Q460" s="1009">
        <f t="shared" si="917"/>
        <v>23598</v>
      </c>
      <c r="R460" s="199">
        <f t="shared" si="917"/>
        <v>24166</v>
      </c>
      <c r="S460" s="199">
        <f t="shared" si="917"/>
        <v>24714</v>
      </c>
      <c r="T460" s="199">
        <f t="shared" si="917"/>
        <v>24439</v>
      </c>
      <c r="U460" s="199">
        <f t="shared" si="917"/>
        <v>23221</v>
      </c>
      <c r="V460" s="1009">
        <f t="shared" si="917"/>
        <v>23221</v>
      </c>
      <c r="W460" s="199">
        <f t="shared" si="917"/>
        <v>23612</v>
      </c>
      <c r="X460" s="199">
        <f t="shared" si="917"/>
        <v>23858</v>
      </c>
      <c r="Y460" s="199">
        <f t="shared" si="917"/>
        <v>23738</v>
      </c>
      <c r="Z460" s="199">
        <f t="shared" si="917"/>
        <v>23731</v>
      </c>
      <c r="AA460" s="1009">
        <f t="shared" si="917"/>
        <v>23731</v>
      </c>
      <c r="AB460" s="199">
        <f t="shared" si="917"/>
        <v>22979</v>
      </c>
      <c r="AC460" s="199">
        <f t="shared" si="917"/>
        <v>22623</v>
      </c>
      <c r="AD460" s="199">
        <f t="shared" si="917"/>
        <v>22460</v>
      </c>
      <c r="AE460" s="199">
        <f t="shared" si="917"/>
        <v>22894</v>
      </c>
      <c r="AF460" s="1009">
        <f t="shared" si="917"/>
        <v>22894</v>
      </c>
      <c r="AG460" s="199">
        <f t="shared" si="917"/>
        <v>24340</v>
      </c>
      <c r="AH460" s="199">
        <f t="shared" si="917"/>
        <v>25321</v>
      </c>
      <c r="AI460" s="199">
        <f t="shared" si="917"/>
        <v>25607</v>
      </c>
      <c r="AJ460" s="199">
        <f t="shared" si="917"/>
        <v>25943</v>
      </c>
      <c r="AK460" s="1009">
        <f t="shared" si="917"/>
        <v>25943</v>
      </c>
      <c r="AL460" s="199">
        <f t="shared" si="917"/>
        <v>25204</v>
      </c>
      <c r="AM460" s="199">
        <f t="shared" si="917"/>
        <v>26943</v>
      </c>
      <c r="AN460" s="199">
        <f>AN661</f>
        <v>27849</v>
      </c>
      <c r="AO460" s="199">
        <f t="shared" si="918" ref="AO460:AQ460">AO661</f>
        <v>29201</v>
      </c>
      <c r="AP460" s="1009">
        <f t="shared" si="918"/>
        <v>29201</v>
      </c>
      <c r="AQ460" s="199">
        <f t="shared" si="918"/>
        <v>28269</v>
      </c>
      <c r="AR460" s="199">
        <f t="shared" si="919" ref="AR460:AW460">AR661</f>
        <v>29156</v>
      </c>
      <c r="AS460" s="199">
        <f t="shared" si="919"/>
        <v>28474</v>
      </c>
      <c r="AT460" s="199">
        <f t="shared" si="919"/>
        <v>28887</v>
      </c>
      <c r="AU460" s="1009">
        <f t="shared" si="919"/>
        <v>28887</v>
      </c>
      <c r="AV460" s="199">
        <f t="shared" si="919"/>
        <v>25531</v>
      </c>
      <c r="AW460" s="199">
        <f t="shared" si="919"/>
        <v>22874</v>
      </c>
      <c r="AX460" s="199">
        <f t="shared" si="920" ref="AX460:BJ460">AX661</f>
        <v>19906</v>
      </c>
      <c r="AY460" s="199">
        <f t="shared" si="920"/>
        <v>21560</v>
      </c>
      <c r="AZ460" s="1009">
        <f t="shared" si="920"/>
        <v>21560</v>
      </c>
      <c r="BA460" s="199">
        <f t="shared" si="921" ref="BA460:BI460">BA661</f>
        <v>23052</v>
      </c>
      <c r="BB460" s="199">
        <f t="shared" si="921"/>
        <v>21855</v>
      </c>
      <c r="BC460" s="199">
        <f t="shared" si="921"/>
        <v>19978</v>
      </c>
      <c r="BD460" s="199">
        <f t="shared" si="921"/>
        <v>24921</v>
      </c>
      <c r="BE460" s="1009">
        <f t="shared" si="921"/>
        <v>24921</v>
      </c>
      <c r="BF460" s="199">
        <f>BF661</f>
        <v>25022</v>
      </c>
      <c r="BG460" s="199">
        <f>BG661</f>
        <v>24862</v>
      </c>
      <c r="BH460" s="554">
        <f>BH661</f>
        <v>27696</v>
      </c>
      <c r="BI460" s="199">
        <f t="shared" ca="1" si="921"/>
        <v>28907.003097030072</v>
      </c>
      <c r="BJ460" s="1009">
        <f t="shared" ca="1" si="920"/>
        <v>28907.003097030072</v>
      </c>
      <c r="BK460" s="199">
        <f ca="1" t="shared" si="922" ref="BK460:BR460">BK661</f>
        <v>29970.415774252484</v>
      </c>
      <c r="BL460" s="199">
        <f t="shared" ca="1" si="922"/>
        <v>30616.16276942371</v>
      </c>
      <c r="BM460" s="199">
        <f t="shared" ca="1" si="922"/>
        <v>31456.000256469299</v>
      </c>
      <c r="BN460" s="199">
        <f t="shared" ca="1" si="922"/>
        <v>32739.486032116343</v>
      </c>
      <c r="BO460" s="1009">
        <f t="shared" ca="1" si="922"/>
        <v>32739.486032116343</v>
      </c>
      <c r="BP460" s="1009">
        <f t="shared" ca="1" si="922"/>
        <v>37038.931142652014</v>
      </c>
      <c r="BQ460" s="1009">
        <f t="shared" ca="1" si="922"/>
        <v>41728.234470314099</v>
      </c>
      <c r="BR460" s="1009">
        <f t="shared" ca="1" si="922"/>
        <v>45920.680245735683</v>
      </c>
      <c r="BS460" s="662"/>
    </row>
    <row r="461" spans="1:71" s="327" customFormat="1" ht="15" hidden="1" outlineLevel="1">
      <c r="A461" s="209" t="s">
        <v>171</v>
      </c>
      <c r="B461" s="465"/>
      <c r="C461" s="996">
        <f t="shared" si="923" ref="C461:AM461">-C656</f>
        <v>-79</v>
      </c>
      <c r="D461" s="996">
        <f t="shared" si="923"/>
        <v>-68</v>
      </c>
      <c r="E461" s="996">
        <f t="shared" si="923"/>
        <v>0</v>
      </c>
      <c r="F461" s="996">
        <f t="shared" si="923"/>
        <v>0</v>
      </c>
      <c r="G461" s="996">
        <f t="shared" si="923"/>
        <v>0</v>
      </c>
      <c r="H461" s="205">
        <f t="shared" si="923"/>
        <v>0</v>
      </c>
      <c r="I461" s="205">
        <f t="shared" si="923"/>
        <v>0</v>
      </c>
      <c r="J461" s="205">
        <f t="shared" si="923"/>
        <v>0</v>
      </c>
      <c r="K461" s="205">
        <f t="shared" si="923"/>
        <v>0</v>
      </c>
      <c r="L461" s="996">
        <f t="shared" si="923"/>
        <v>0</v>
      </c>
      <c r="M461" s="205">
        <f t="shared" si="923"/>
        <v>0</v>
      </c>
      <c r="N461" s="205">
        <f t="shared" si="923"/>
        <v>0</v>
      </c>
      <c r="O461" s="205">
        <f t="shared" si="923"/>
        <v>0</v>
      </c>
      <c r="P461" s="205">
        <f t="shared" si="923"/>
        <v>0</v>
      </c>
      <c r="Q461" s="996">
        <f t="shared" si="923"/>
        <v>0</v>
      </c>
      <c r="R461" s="205">
        <f t="shared" si="923"/>
        <v>0</v>
      </c>
      <c r="S461" s="205">
        <f t="shared" si="923"/>
        <v>0</v>
      </c>
      <c r="T461" s="205">
        <f t="shared" si="923"/>
        <v>0</v>
      </c>
      <c r="U461" s="205">
        <f t="shared" si="923"/>
        <v>0</v>
      </c>
      <c r="V461" s="996">
        <f t="shared" si="923"/>
        <v>0</v>
      </c>
      <c r="W461" s="205">
        <f t="shared" si="923"/>
        <v>0</v>
      </c>
      <c r="X461" s="205">
        <f t="shared" si="923"/>
        <v>0</v>
      </c>
      <c r="Y461" s="205">
        <f t="shared" si="923"/>
        <v>0</v>
      </c>
      <c r="Z461" s="205">
        <f t="shared" si="923"/>
        <v>0</v>
      </c>
      <c r="AA461" s="996">
        <f t="shared" si="923"/>
        <v>0</v>
      </c>
      <c r="AB461" s="205">
        <f t="shared" si="923"/>
        <v>0</v>
      </c>
      <c r="AC461" s="205">
        <f t="shared" si="923"/>
        <v>0</v>
      </c>
      <c r="AD461" s="205">
        <f t="shared" si="923"/>
        <v>0</v>
      </c>
      <c r="AE461" s="205">
        <f t="shared" si="923"/>
        <v>0</v>
      </c>
      <c r="AF461" s="996">
        <f t="shared" si="923"/>
        <v>0</v>
      </c>
      <c r="AG461" s="205">
        <f t="shared" si="923"/>
        <v>0</v>
      </c>
      <c r="AH461" s="205">
        <f t="shared" si="923"/>
        <v>0</v>
      </c>
      <c r="AI461" s="205">
        <f t="shared" si="923"/>
        <v>0</v>
      </c>
      <c r="AJ461" s="205">
        <f t="shared" si="923"/>
        <v>0</v>
      </c>
      <c r="AK461" s="996">
        <f t="shared" si="923"/>
        <v>0</v>
      </c>
      <c r="AL461" s="205">
        <f t="shared" si="923"/>
        <v>0</v>
      </c>
      <c r="AM461" s="205">
        <f t="shared" si="923"/>
        <v>0</v>
      </c>
      <c r="AN461" s="205">
        <f>-AN656</f>
        <v>0</v>
      </c>
      <c r="AO461" s="205">
        <f t="shared" si="924" ref="AO461:AQ461">-AO656</f>
        <v>0</v>
      </c>
      <c r="AP461" s="996">
        <f t="shared" si="924"/>
        <v>0</v>
      </c>
      <c r="AQ461" s="205">
        <f t="shared" si="924"/>
        <v>0</v>
      </c>
      <c r="AR461" s="205">
        <f t="shared" si="925" ref="AR461:AW461">-AR656</f>
        <v>0</v>
      </c>
      <c r="AS461" s="205">
        <f t="shared" si="925"/>
        <v>0</v>
      </c>
      <c r="AT461" s="205">
        <f t="shared" si="925"/>
        <v>0</v>
      </c>
      <c r="AU461" s="996">
        <f t="shared" si="925"/>
        <v>0</v>
      </c>
      <c r="AV461" s="205">
        <f t="shared" si="925"/>
        <v>0</v>
      </c>
      <c r="AW461" s="205">
        <f t="shared" si="925"/>
        <v>0</v>
      </c>
      <c r="AX461" s="205">
        <f t="shared" si="926" ref="AX461:BJ461">-AX656</f>
        <v>0</v>
      </c>
      <c r="AY461" s="205">
        <f t="shared" si="926"/>
        <v>0</v>
      </c>
      <c r="AZ461" s="996">
        <f t="shared" si="926"/>
        <v>0</v>
      </c>
      <c r="BA461" s="205">
        <f t="shared" si="927" ref="BA461:BI461">-BA656</f>
        <v>0</v>
      </c>
      <c r="BB461" s="205">
        <f t="shared" si="927"/>
        <v>0</v>
      </c>
      <c r="BC461" s="205">
        <f t="shared" si="927"/>
        <v>0</v>
      </c>
      <c r="BD461" s="205">
        <f t="shared" si="927"/>
        <v>0</v>
      </c>
      <c r="BE461" s="996">
        <f t="shared" si="927"/>
        <v>0</v>
      </c>
      <c r="BF461" s="205">
        <f>-BF656</f>
        <v>0</v>
      </c>
      <c r="BG461" s="205">
        <f>-BG656</f>
        <v>0</v>
      </c>
      <c r="BH461" s="658">
        <f>-BH656</f>
        <v>0</v>
      </c>
      <c r="BI461" s="205">
        <f t="shared" si="927"/>
        <v>0</v>
      </c>
      <c r="BJ461" s="996">
        <f t="shared" si="926"/>
        <v>0</v>
      </c>
      <c r="BK461" s="205">
        <f t="shared" si="928" ref="BK461:BR461">-BK656</f>
        <v>0</v>
      </c>
      <c r="BL461" s="205">
        <f t="shared" si="928"/>
        <v>0</v>
      </c>
      <c r="BM461" s="205">
        <f t="shared" si="928"/>
        <v>0</v>
      </c>
      <c r="BN461" s="205">
        <f t="shared" si="928"/>
        <v>0</v>
      </c>
      <c r="BO461" s="996">
        <f t="shared" si="928"/>
        <v>0</v>
      </c>
      <c r="BP461" s="996">
        <f t="shared" si="928"/>
        <v>0</v>
      </c>
      <c r="BQ461" s="996">
        <f t="shared" si="928"/>
        <v>0</v>
      </c>
      <c r="BR461" s="996">
        <f t="shared" si="928"/>
        <v>0</v>
      </c>
      <c r="BS461" s="100"/>
    </row>
    <row r="462" spans="1:71" s="181" customFormat="1" ht="15" collapsed="1">
      <c r="A462" s="423" t="s">
        <v>172</v>
      </c>
      <c r="B462" s="480"/>
      <c r="C462" s="1008">
        <f t="shared" si="929" ref="C462:AM462">SUM(C460:C461)</f>
        <v>27336</v>
      </c>
      <c r="D462" s="1008">
        <f t="shared" si="929"/>
        <v>25407</v>
      </c>
      <c r="E462" s="1008">
        <f t="shared" si="929"/>
        <v>24477</v>
      </c>
      <c r="F462" s="1008">
        <f t="shared" si="929"/>
        <v>25405</v>
      </c>
      <c r="G462" s="1008">
        <f t="shared" si="929"/>
        <v>24796</v>
      </c>
      <c r="H462" s="185">
        <f t="shared" si="929"/>
        <v>25387</v>
      </c>
      <c r="I462" s="185">
        <f t="shared" si="929"/>
        <v>25532</v>
      </c>
      <c r="J462" s="185">
        <f t="shared" si="929"/>
        <v>25321</v>
      </c>
      <c r="K462" s="185">
        <f t="shared" si="929"/>
        <v>24836</v>
      </c>
      <c r="L462" s="1008">
        <f t="shared" si="929"/>
        <v>24836</v>
      </c>
      <c r="M462" s="185">
        <f t="shared" si="929"/>
        <v>24847</v>
      </c>
      <c r="N462" s="185">
        <f t="shared" si="929"/>
        <v>24121</v>
      </c>
      <c r="O462" s="185">
        <f t="shared" si="929"/>
        <v>24033</v>
      </c>
      <c r="P462" s="185">
        <f t="shared" si="929"/>
        <v>23598</v>
      </c>
      <c r="Q462" s="1008">
        <f t="shared" si="929"/>
        <v>23598</v>
      </c>
      <c r="R462" s="185">
        <f t="shared" si="929"/>
        <v>24166</v>
      </c>
      <c r="S462" s="185">
        <f t="shared" si="929"/>
        <v>24714</v>
      </c>
      <c r="T462" s="185">
        <f t="shared" si="929"/>
        <v>24439</v>
      </c>
      <c r="U462" s="185">
        <f t="shared" si="929"/>
        <v>23221</v>
      </c>
      <c r="V462" s="1008">
        <f t="shared" si="929"/>
        <v>23221</v>
      </c>
      <c r="W462" s="185">
        <f t="shared" si="929"/>
        <v>23612</v>
      </c>
      <c r="X462" s="185">
        <f t="shared" si="929"/>
        <v>23858</v>
      </c>
      <c r="Y462" s="185">
        <f t="shared" si="929"/>
        <v>23738</v>
      </c>
      <c r="Z462" s="199">
        <f t="shared" si="929"/>
        <v>23731</v>
      </c>
      <c r="AA462" s="1009">
        <f t="shared" si="929"/>
        <v>23731</v>
      </c>
      <c r="AB462" s="185">
        <f t="shared" si="929"/>
        <v>22979</v>
      </c>
      <c r="AC462" s="185">
        <f t="shared" si="929"/>
        <v>22623</v>
      </c>
      <c r="AD462" s="185">
        <f t="shared" si="929"/>
        <v>22460</v>
      </c>
      <c r="AE462" s="199">
        <f t="shared" si="929"/>
        <v>22894</v>
      </c>
      <c r="AF462" s="1009">
        <f t="shared" si="929"/>
        <v>22894</v>
      </c>
      <c r="AG462" s="185">
        <f t="shared" si="929"/>
        <v>24340</v>
      </c>
      <c r="AH462" s="185">
        <f t="shared" si="929"/>
        <v>25321</v>
      </c>
      <c r="AI462" s="185">
        <f t="shared" si="929"/>
        <v>25607</v>
      </c>
      <c r="AJ462" s="199">
        <f t="shared" si="929"/>
        <v>25943</v>
      </c>
      <c r="AK462" s="1009">
        <f t="shared" si="929"/>
        <v>25943</v>
      </c>
      <c r="AL462" s="185">
        <f t="shared" si="929"/>
        <v>25204</v>
      </c>
      <c r="AM462" s="185">
        <f t="shared" si="929"/>
        <v>26943</v>
      </c>
      <c r="AN462" s="185">
        <f>SUM(AN460:AN461)</f>
        <v>27849</v>
      </c>
      <c r="AO462" s="199">
        <f t="shared" si="930" ref="AO462:AP462">SUM(AO460:AO461)</f>
        <v>29201</v>
      </c>
      <c r="AP462" s="1009">
        <f t="shared" si="930"/>
        <v>29201</v>
      </c>
      <c r="AQ462" s="185">
        <f t="shared" si="931" ref="AQ462">SUM(AQ460:AQ461)</f>
        <v>28269</v>
      </c>
      <c r="AR462" s="185">
        <f t="shared" si="932" ref="AR462:AW462">SUM(AR460:AR461)</f>
        <v>29156</v>
      </c>
      <c r="AS462" s="185">
        <f t="shared" si="932"/>
        <v>28474</v>
      </c>
      <c r="AT462" s="199">
        <f t="shared" si="932"/>
        <v>28887</v>
      </c>
      <c r="AU462" s="1009">
        <f t="shared" si="932"/>
        <v>28887</v>
      </c>
      <c r="AV462" s="185">
        <f t="shared" si="932"/>
        <v>25531</v>
      </c>
      <c r="AW462" s="185">
        <f t="shared" si="932"/>
        <v>22874</v>
      </c>
      <c r="AX462" s="185">
        <f t="shared" si="933" ref="AX462:BJ462">SUM(AX460:AX461)</f>
        <v>19906</v>
      </c>
      <c r="AY462" s="199">
        <f t="shared" si="933"/>
        <v>21560</v>
      </c>
      <c r="AZ462" s="1009">
        <f t="shared" si="933"/>
        <v>21560</v>
      </c>
      <c r="BA462" s="185">
        <f t="shared" si="934" ref="BA462:BI462">SUM(BA460:BA461)</f>
        <v>23052</v>
      </c>
      <c r="BB462" s="185">
        <f t="shared" si="934"/>
        <v>21855</v>
      </c>
      <c r="BC462" s="185">
        <f t="shared" si="934"/>
        <v>19978</v>
      </c>
      <c r="BD462" s="199">
        <f t="shared" si="934"/>
        <v>24921</v>
      </c>
      <c r="BE462" s="1009">
        <f t="shared" si="934"/>
        <v>24921</v>
      </c>
      <c r="BF462" s="185">
        <f>SUM(BF460:BF461)</f>
        <v>25022</v>
      </c>
      <c r="BG462" s="185">
        <f>SUM(BG460:BG461)</f>
        <v>24862</v>
      </c>
      <c r="BH462" s="749">
        <f>SUM(BH460:BH461)</f>
        <v>27696</v>
      </c>
      <c r="BI462" s="199">
        <f t="shared" ca="1" si="934"/>
        <v>28907.003097030072</v>
      </c>
      <c r="BJ462" s="1009">
        <f t="shared" ca="1" si="933"/>
        <v>28907.003097030072</v>
      </c>
      <c r="BK462" s="199">
        <f ca="1" t="shared" si="935" ref="BK462:BR462">SUM(BK460:BK461)</f>
        <v>29970.415774252484</v>
      </c>
      <c r="BL462" s="199">
        <f t="shared" ca="1" si="935"/>
        <v>30616.16276942371</v>
      </c>
      <c r="BM462" s="199">
        <f t="shared" ca="1" si="935"/>
        <v>31456.000256469299</v>
      </c>
      <c r="BN462" s="199">
        <f t="shared" ca="1" si="935"/>
        <v>32739.486032116343</v>
      </c>
      <c r="BO462" s="1009">
        <f t="shared" ca="1" si="935"/>
        <v>32739.486032116343</v>
      </c>
      <c r="BP462" s="1009">
        <f t="shared" ca="1" si="935"/>
        <v>37038.931142652014</v>
      </c>
      <c r="BQ462" s="1009">
        <f t="shared" ca="1" si="935"/>
        <v>41728.234470314099</v>
      </c>
      <c r="BR462" s="1009">
        <f t="shared" ca="1" si="935"/>
        <v>45920.680245735683</v>
      </c>
      <c r="BS462" s="423"/>
    </row>
    <row r="463" spans="1:71" s="181" customFormat="1" ht="15" hidden="1" outlineLevel="1">
      <c r="A463" s="60" t="s">
        <v>529</v>
      </c>
      <c r="B463" s="478"/>
      <c r="C463" s="1033">
        <v>-1861</v>
      </c>
      <c r="D463" s="1033">
        <v>-1859</v>
      </c>
      <c r="E463" s="1033">
        <v>-2871</v>
      </c>
      <c r="F463" s="1033">
        <v>-3103</v>
      </c>
      <c r="G463" s="1033">
        <v>-1322</v>
      </c>
      <c r="H463" s="927">
        <v>-1674</v>
      </c>
      <c r="I463" s="927">
        <v>-2013</v>
      </c>
      <c r="J463" s="927">
        <v>-1914</v>
      </c>
      <c r="K463" s="186">
        <f>L463</f>
        <v>-1966</v>
      </c>
      <c r="L463" s="1033">
        <v>-1966</v>
      </c>
      <c r="M463" s="927">
        <v>-2076</v>
      </c>
      <c r="N463" s="927">
        <v>-1376</v>
      </c>
      <c r="O463" s="927">
        <v>-1414</v>
      </c>
      <c r="P463" s="186">
        <f>Q463</f>
        <v>-1289</v>
      </c>
      <c r="Q463" s="1033">
        <v>-1289</v>
      </c>
      <c r="R463" s="927">
        <v>-1759</v>
      </c>
      <c r="S463" s="927">
        <v>-2341</v>
      </c>
      <c r="T463" s="927">
        <v>-2049</v>
      </c>
      <c r="U463" s="186">
        <f>V463</f>
        <v>-730</v>
      </c>
      <c r="V463" s="1033">
        <v>-730</v>
      </c>
      <c r="W463" s="927">
        <v>-823</v>
      </c>
      <c r="X463" s="927">
        <v>-1035</v>
      </c>
      <c r="Y463" s="927">
        <v>-1006</v>
      </c>
      <c r="Z463" s="205">
        <f>AA463</f>
        <v>-1112</v>
      </c>
      <c r="AA463" s="1033">
        <v>-1112</v>
      </c>
      <c r="AB463" s="927">
        <v>-133</v>
      </c>
      <c r="AC463" s="927">
        <v>112</v>
      </c>
      <c r="AD463" s="927">
        <v>447</v>
      </c>
      <c r="AE463" s="205">
        <f>AF463</f>
        <v>113</v>
      </c>
      <c r="AF463" s="1033">
        <v>113</v>
      </c>
      <c r="AG463" s="927">
        <v>-1007</v>
      </c>
      <c r="AH463" s="927">
        <v>-1878</v>
      </c>
      <c r="AI463" s="927">
        <v>-2354</v>
      </c>
      <c r="AJ463" s="205">
        <f>AK463</f>
        <v>-2246</v>
      </c>
      <c r="AK463" s="1033">
        <v>-2246</v>
      </c>
      <c r="AL463" s="927">
        <v>-1785</v>
      </c>
      <c r="AM463" s="927">
        <v>-3646</v>
      </c>
      <c r="AN463" s="927">
        <v>-3812</v>
      </c>
      <c r="AO463" s="205">
        <f>AP463</f>
        <v>-4074</v>
      </c>
      <c r="AP463" s="1033">
        <v>-4074</v>
      </c>
      <c r="AQ463" s="927">
        <v>-2817</v>
      </c>
      <c r="AR463" s="927">
        <v>-3239</v>
      </c>
      <c r="AS463" s="927">
        <v>-2699</v>
      </c>
      <c r="AT463" s="205">
        <f>AU463</f>
        <v>-2415</v>
      </c>
      <c r="AU463" s="1033">
        <v>-2415</v>
      </c>
      <c r="AV463" s="927">
        <v>1391</v>
      </c>
      <c r="AW463" s="927">
        <v>3792</v>
      </c>
      <c r="AX463" s="927">
        <v>6317</v>
      </c>
      <c r="AY463" s="205">
        <f>AZ463</f>
        <v>4898</v>
      </c>
      <c r="AZ463" s="1033">
        <v>4898</v>
      </c>
      <c r="BA463" s="927">
        <v>3868</v>
      </c>
      <c r="BB463" s="927">
        <v>4576</v>
      </c>
      <c r="BC463" s="927">
        <v>6466</v>
      </c>
      <c r="BD463" s="205">
        <f>BE463</f>
        <v>3129</v>
      </c>
      <c r="BE463" s="1033">
        <v>3129</v>
      </c>
      <c r="BF463" s="927">
        <v>3721</v>
      </c>
      <c r="BG463" s="927">
        <v>3976</v>
      </c>
      <c r="BH463" s="928">
        <v>2111</v>
      </c>
      <c r="BI463" s="205">
        <f>BH463</f>
        <v>2111</v>
      </c>
      <c r="BJ463" s="996">
        <f t="shared" si="936" ref="BJ463">BI463</f>
        <v>2111</v>
      </c>
      <c r="BK463" s="205">
        <f t="shared" si="937" ref="BK463:BR463">BJ463</f>
        <v>2111</v>
      </c>
      <c r="BL463" s="205">
        <f t="shared" si="937"/>
        <v>2111</v>
      </c>
      <c r="BM463" s="205">
        <f t="shared" si="937"/>
        <v>2111</v>
      </c>
      <c r="BN463" s="205">
        <f t="shared" si="937"/>
        <v>2111</v>
      </c>
      <c r="BO463" s="996">
        <f t="shared" si="937"/>
        <v>2111</v>
      </c>
      <c r="BP463" s="996">
        <f t="shared" si="937"/>
        <v>2111</v>
      </c>
      <c r="BQ463" s="996">
        <f t="shared" si="937"/>
        <v>2111</v>
      </c>
      <c r="BR463" s="996">
        <f t="shared" si="937"/>
        <v>2111</v>
      </c>
      <c r="BS463" s="423"/>
    </row>
    <row r="464" spans="1:71" s="181" customFormat="1" ht="15" collapsed="1">
      <c r="A464" s="183" t="s">
        <v>173</v>
      </c>
      <c r="B464" s="480"/>
      <c r="C464" s="1008">
        <f t="shared" si="938" ref="C464:AM464">C462+C463</f>
        <v>25475</v>
      </c>
      <c r="D464" s="1008">
        <f t="shared" si="938"/>
        <v>23548</v>
      </c>
      <c r="E464" s="1008">
        <f t="shared" si="938"/>
        <v>21606</v>
      </c>
      <c r="F464" s="1008">
        <f t="shared" si="938"/>
        <v>22302</v>
      </c>
      <c r="G464" s="1008">
        <f t="shared" si="938"/>
        <v>23474</v>
      </c>
      <c r="H464" s="185">
        <f t="shared" si="938"/>
        <v>23713</v>
      </c>
      <c r="I464" s="185">
        <f t="shared" si="938"/>
        <v>23519</v>
      </c>
      <c r="J464" s="185">
        <f t="shared" si="938"/>
        <v>23407</v>
      </c>
      <c r="K464" s="185">
        <f t="shared" si="938"/>
        <v>22870</v>
      </c>
      <c r="L464" s="1008">
        <f t="shared" si="938"/>
        <v>22870</v>
      </c>
      <c r="M464" s="185">
        <f t="shared" si="938"/>
        <v>22771</v>
      </c>
      <c r="N464" s="185">
        <f t="shared" si="938"/>
        <v>22745</v>
      </c>
      <c r="O464" s="185">
        <f t="shared" si="938"/>
        <v>22619</v>
      </c>
      <c r="P464" s="185">
        <f t="shared" si="938"/>
        <v>22309</v>
      </c>
      <c r="Q464" s="1008">
        <f t="shared" si="938"/>
        <v>22309</v>
      </c>
      <c r="R464" s="185">
        <f t="shared" si="938"/>
        <v>22407</v>
      </c>
      <c r="S464" s="185">
        <f t="shared" si="938"/>
        <v>22373</v>
      </c>
      <c r="T464" s="185">
        <f t="shared" si="938"/>
        <v>22390</v>
      </c>
      <c r="U464" s="185">
        <f t="shared" si="938"/>
        <v>22491</v>
      </c>
      <c r="V464" s="1008">
        <f t="shared" si="938"/>
        <v>22491</v>
      </c>
      <c r="W464" s="185">
        <f t="shared" si="938"/>
        <v>22789</v>
      </c>
      <c r="X464" s="185">
        <f t="shared" si="938"/>
        <v>22823</v>
      </c>
      <c r="Y464" s="185">
        <f t="shared" si="938"/>
        <v>22732</v>
      </c>
      <c r="Z464" s="199">
        <f t="shared" si="938"/>
        <v>22619</v>
      </c>
      <c r="AA464" s="1009">
        <f t="shared" si="938"/>
        <v>22619</v>
      </c>
      <c r="AB464" s="185">
        <f t="shared" si="938"/>
        <v>22846</v>
      </c>
      <c r="AC464" s="185">
        <f t="shared" si="938"/>
        <v>22735</v>
      </c>
      <c r="AD464" s="185">
        <f t="shared" si="938"/>
        <v>22907</v>
      </c>
      <c r="AE464" s="199">
        <f t="shared" si="938"/>
        <v>23007</v>
      </c>
      <c r="AF464" s="1009">
        <f t="shared" si="938"/>
        <v>23007</v>
      </c>
      <c r="AG464" s="185">
        <f t="shared" si="938"/>
        <v>23333</v>
      </c>
      <c r="AH464" s="185">
        <f t="shared" si="938"/>
        <v>23443</v>
      </c>
      <c r="AI464" s="185">
        <f t="shared" si="938"/>
        <v>23253</v>
      </c>
      <c r="AJ464" s="199">
        <f t="shared" si="938"/>
        <v>23697</v>
      </c>
      <c r="AK464" s="1009">
        <f t="shared" si="938"/>
        <v>23697</v>
      </c>
      <c r="AL464" s="185">
        <f t="shared" si="938"/>
        <v>23419</v>
      </c>
      <c r="AM464" s="185">
        <f t="shared" si="938"/>
        <v>23297</v>
      </c>
      <c r="AN464" s="185">
        <f>AN462+AN463</f>
        <v>24037</v>
      </c>
      <c r="AO464" s="199">
        <f t="shared" si="939" ref="AO464:AQ464">AO462+AO463</f>
        <v>25127</v>
      </c>
      <c r="AP464" s="1009">
        <f t="shared" si="939"/>
        <v>25127</v>
      </c>
      <c r="AQ464" s="185">
        <f t="shared" si="939"/>
        <v>25452</v>
      </c>
      <c r="AR464" s="185">
        <f t="shared" si="940" ref="AR464:AW464">AR462+AR463</f>
        <v>25917</v>
      </c>
      <c r="AS464" s="185">
        <f t="shared" si="940"/>
        <v>25775</v>
      </c>
      <c r="AT464" s="199">
        <f t="shared" si="940"/>
        <v>26472</v>
      </c>
      <c r="AU464" s="1009">
        <f t="shared" si="940"/>
        <v>26472</v>
      </c>
      <c r="AV464" s="185">
        <f t="shared" si="940"/>
        <v>26922</v>
      </c>
      <c r="AW464" s="185">
        <f t="shared" si="940"/>
        <v>26666</v>
      </c>
      <c r="AX464" s="185">
        <f t="shared" si="941" ref="AX464:BJ464">AX462+AX463</f>
        <v>26223</v>
      </c>
      <c r="AY464" s="199">
        <f t="shared" si="941"/>
        <v>26458</v>
      </c>
      <c r="AZ464" s="1009">
        <f t="shared" si="941"/>
        <v>26458</v>
      </c>
      <c r="BA464" s="185">
        <f t="shared" si="942" ref="BA464:BI464">BA462+BA463</f>
        <v>26920</v>
      </c>
      <c r="BB464" s="185">
        <f t="shared" si="942"/>
        <v>26431</v>
      </c>
      <c r="BC464" s="185">
        <f t="shared" si="942"/>
        <v>26444</v>
      </c>
      <c r="BD464" s="199">
        <f t="shared" si="942"/>
        <v>28050</v>
      </c>
      <c r="BE464" s="1009">
        <f t="shared" si="942"/>
        <v>28050</v>
      </c>
      <c r="BF464" s="185">
        <f>BF462+BF463</f>
        <v>28743</v>
      </c>
      <c r="BG464" s="185">
        <f>BG462+BG463</f>
        <v>28838</v>
      </c>
      <c r="BH464" s="749">
        <f>BH462+BH463</f>
        <v>29807</v>
      </c>
      <c r="BI464" s="199">
        <f t="shared" ca="1" si="942"/>
        <v>31018.003097030072</v>
      </c>
      <c r="BJ464" s="1009">
        <f t="shared" ca="1" si="941"/>
        <v>31018.003097030072</v>
      </c>
      <c r="BK464" s="199">
        <f ca="1" t="shared" si="943" ref="BK464:BR464">BK462+BK463</f>
        <v>32081.415774252484</v>
      </c>
      <c r="BL464" s="199">
        <f t="shared" ca="1" si="943"/>
        <v>32727.16276942371</v>
      </c>
      <c r="BM464" s="199">
        <f t="shared" ca="1" si="943"/>
        <v>33567.000256469299</v>
      </c>
      <c r="BN464" s="199">
        <f t="shared" ca="1" si="943"/>
        <v>34850.486032116343</v>
      </c>
      <c r="BO464" s="1009">
        <f t="shared" ca="1" si="943"/>
        <v>34850.486032116343</v>
      </c>
      <c r="BP464" s="1009">
        <f t="shared" ca="1" si="943"/>
        <v>39149.931142652014</v>
      </c>
      <c r="BQ464" s="1009">
        <f t="shared" ca="1" si="943"/>
        <v>43839.234470314099</v>
      </c>
      <c r="BR464" s="1009">
        <f t="shared" ca="1" si="943"/>
        <v>48031.680245735683</v>
      </c>
      <c r="BS464" s="423"/>
    </row>
    <row r="465" spans="1:71" s="24" customFormat="1" ht="15" hidden="1" outlineLevel="1">
      <c r="A465" s="263" t="s">
        <v>243</v>
      </c>
      <c r="B465" s="462"/>
      <c r="C465" s="993">
        <f t="shared" si="944" ref="C465:AM465">-C640</f>
        <v>-3365</v>
      </c>
      <c r="D465" s="993">
        <f t="shared" si="944"/>
        <v>-3365</v>
      </c>
      <c r="E465" s="993">
        <f t="shared" si="944"/>
        <v>-3365</v>
      </c>
      <c r="F465" s="993">
        <f t="shared" si="944"/>
        <v>-3365</v>
      </c>
      <c r="G465" s="993">
        <f t="shared" si="944"/>
        <v>-3634</v>
      </c>
      <c r="H465" s="265">
        <f t="shared" si="944"/>
        <v>-3624</v>
      </c>
      <c r="I465" s="265">
        <f t="shared" si="944"/>
        <v>-3634</v>
      </c>
      <c r="J465" s="265">
        <f t="shared" si="944"/>
        <v>-3621</v>
      </c>
      <c r="K465" s="265">
        <f t="shared" si="944"/>
        <v>-3611</v>
      </c>
      <c r="L465" s="993">
        <f t="shared" si="944"/>
        <v>-3611</v>
      </c>
      <c r="M465" s="265">
        <f t="shared" si="944"/>
        <v>-3590</v>
      </c>
      <c r="N465" s="265">
        <f t="shared" si="944"/>
        <v>-3594</v>
      </c>
      <c r="O465" s="265">
        <f t="shared" si="944"/>
        <v>-3579</v>
      </c>
      <c r="P465" s="265">
        <f t="shared" si="944"/>
        <v>-3573</v>
      </c>
      <c r="Q465" s="993">
        <f t="shared" si="944"/>
        <v>-3573</v>
      </c>
      <c r="R465" s="265">
        <f t="shared" si="944"/>
        <v>-3588</v>
      </c>
      <c r="S465" s="265">
        <f t="shared" si="944"/>
        <v>-3588</v>
      </c>
      <c r="T465" s="265">
        <f t="shared" si="944"/>
        <v>-3585</v>
      </c>
      <c r="U465" s="265">
        <f t="shared" si="944"/>
        <v>-3580</v>
      </c>
      <c r="V465" s="993">
        <f t="shared" si="944"/>
        <v>-3580</v>
      </c>
      <c r="W465" s="265">
        <f t="shared" si="944"/>
        <v>-3584</v>
      </c>
      <c r="X465" s="265">
        <f t="shared" si="944"/>
        <v>-3589</v>
      </c>
      <c r="Y465" s="265">
        <f t="shared" si="944"/>
        <v>-3946</v>
      </c>
      <c r="Z465" s="210">
        <f t="shared" si="944"/>
        <v>-3951</v>
      </c>
      <c r="AA465" s="994">
        <f t="shared" si="944"/>
        <v>-3951</v>
      </c>
      <c r="AB465" s="265">
        <f t="shared" si="944"/>
        <v>-3959</v>
      </c>
      <c r="AC465" s="265">
        <f t="shared" si="944"/>
        <v>-3931</v>
      </c>
      <c r="AD465" s="265">
        <f t="shared" si="944"/>
        <v>-3958</v>
      </c>
      <c r="AE465" s="210">
        <f t="shared" si="944"/>
        <v>-3937</v>
      </c>
      <c r="AF465" s="994">
        <f t="shared" si="944"/>
        <v>-3937</v>
      </c>
      <c r="AG465" s="265">
        <f t="shared" si="944"/>
        <v>-3949</v>
      </c>
      <c r="AH465" s="265">
        <f t="shared" si="944"/>
        <v>-3943</v>
      </c>
      <c r="AI465" s="265">
        <f t="shared" si="944"/>
        <v>-3929</v>
      </c>
      <c r="AJ465" s="210">
        <f t="shared" si="944"/>
        <v>-3961</v>
      </c>
      <c r="AK465" s="994">
        <f t="shared" si="944"/>
        <v>-3961</v>
      </c>
      <c r="AL465" s="265">
        <f t="shared" si="944"/>
        <v>-3915</v>
      </c>
      <c r="AM465" s="265">
        <f t="shared" si="944"/>
        <v>-3925</v>
      </c>
      <c r="AN465" s="265">
        <f>-AN640</f>
        <v>-3945</v>
      </c>
      <c r="AO465" s="210">
        <f t="shared" si="945" ref="AO465:AQ465">-AO640</f>
        <v>-3976</v>
      </c>
      <c r="AP465" s="994">
        <f t="shared" si="945"/>
        <v>-3976</v>
      </c>
      <c r="AQ465" s="265">
        <f t="shared" si="945"/>
        <v>-4017</v>
      </c>
      <c r="AR465" s="265">
        <f t="shared" si="946" ref="AR465:AU466">-AR640</f>
        <v>-4020</v>
      </c>
      <c r="AS465" s="265">
        <f t="shared" si="946"/>
        <v>-4005</v>
      </c>
      <c r="AT465" s="210">
        <f t="shared" si="946"/>
        <v>-4008</v>
      </c>
      <c r="AU465" s="994">
        <f t="shared" si="946"/>
        <v>-4008</v>
      </c>
      <c r="AV465" s="265">
        <f t="shared" si="947" ref="AV465:AW466">-AV640</f>
        <v>-4001</v>
      </c>
      <c r="AW465" s="265">
        <f t="shared" si="947"/>
        <v>-3967</v>
      </c>
      <c r="AX465" s="265">
        <f t="shared" si="948" ref="AX465:AZ466">-AX640</f>
        <v>-3922</v>
      </c>
      <c r="AY465" s="210">
        <f t="shared" si="948"/>
        <v>-3952</v>
      </c>
      <c r="AZ465" s="994">
        <f t="shared" si="948"/>
        <v>-3952</v>
      </c>
      <c r="BA465" s="265">
        <f t="shared" si="949" ref="BA465:BC466">-BA640</f>
        <v>-3959</v>
      </c>
      <c r="BB465" s="265">
        <f t="shared" si="949"/>
        <v>-3975</v>
      </c>
      <c r="BC465" s="265">
        <f t="shared" si="949"/>
        <v>-3955</v>
      </c>
      <c r="BD465" s="210">
        <f t="shared" si="950" ref="BD465:BI466">-BD640</f>
        <v>-3976</v>
      </c>
      <c r="BE465" s="994">
        <f t="shared" si="950"/>
        <v>-3976</v>
      </c>
      <c r="BF465" s="265">
        <f t="shared" si="951" ref="BF465:BH466">-BF640</f>
        <v>-4251</v>
      </c>
      <c r="BG465" s="265">
        <f t="shared" si="951"/>
        <v>-4250</v>
      </c>
      <c r="BH465" s="745">
        <f t="shared" si="951"/>
        <v>-4273</v>
      </c>
      <c r="BI465" s="210">
        <f t="shared" si="950"/>
        <v>-4273</v>
      </c>
      <c r="BJ465" s="994">
        <f t="shared" si="952" ref="BJ465:BJ466">-BJ640</f>
        <v>-4273</v>
      </c>
      <c r="BK465" s="210">
        <f t="shared" si="953" ref="BK465:BR466">-BK640</f>
        <v>-4273</v>
      </c>
      <c r="BL465" s="210">
        <f t="shared" si="953"/>
        <v>-4273</v>
      </c>
      <c r="BM465" s="210">
        <f t="shared" si="953"/>
        <v>-4273</v>
      </c>
      <c r="BN465" s="210">
        <f t="shared" si="953"/>
        <v>-4273</v>
      </c>
      <c r="BO465" s="994">
        <f t="shared" si="953"/>
        <v>-4273</v>
      </c>
      <c r="BP465" s="994">
        <f t="shared" si="953"/>
        <v>-4273</v>
      </c>
      <c r="BQ465" s="994">
        <f t="shared" si="953"/>
        <v>-4273</v>
      </c>
      <c r="BR465" s="994">
        <f t="shared" si="953"/>
        <v>-4273</v>
      </c>
      <c r="BS465" s="833"/>
    </row>
    <row r="466" spans="1:71" s="24" customFormat="1" ht="15" hidden="1" outlineLevel="1">
      <c r="A466" s="263" t="s">
        <v>244</v>
      </c>
      <c r="B466" s="462"/>
      <c r="C466" s="993">
        <f t="shared" si="954" ref="C466:AM466">-C641</f>
        <v>-588</v>
      </c>
      <c r="D466" s="993">
        <f t="shared" si="954"/>
        <v>-502</v>
      </c>
      <c r="E466" s="993">
        <f t="shared" si="954"/>
        <v>-433</v>
      </c>
      <c r="F466" s="993">
        <f t="shared" si="954"/>
        <v>-381</v>
      </c>
      <c r="G466" s="993">
        <f t="shared" si="954"/>
        <v>-351</v>
      </c>
      <c r="H466" s="265">
        <f t="shared" si="954"/>
        <v>-339</v>
      </c>
      <c r="I466" s="265">
        <f t="shared" si="954"/>
        <v>-328</v>
      </c>
      <c r="J466" s="265">
        <f t="shared" si="954"/>
        <v>-316</v>
      </c>
      <c r="K466" s="265">
        <f t="shared" si="954"/>
        <v>-304</v>
      </c>
      <c r="L466" s="993">
        <f t="shared" si="954"/>
        <v>-304</v>
      </c>
      <c r="M466" s="265">
        <f t="shared" si="954"/>
        <v>-292</v>
      </c>
      <c r="N466" s="265">
        <f t="shared" si="954"/>
        <v>-284</v>
      </c>
      <c r="O466" s="265">
        <f t="shared" si="954"/>
        <v>-280</v>
      </c>
      <c r="P466" s="265">
        <f t="shared" si="954"/>
        <v>-279</v>
      </c>
      <c r="Q466" s="993">
        <f t="shared" si="954"/>
        <v>-279</v>
      </c>
      <c r="R466" s="265">
        <f t="shared" si="954"/>
        <v>-275</v>
      </c>
      <c r="S466" s="265">
        <f t="shared" si="954"/>
        <v>-274</v>
      </c>
      <c r="T466" s="265">
        <f t="shared" si="954"/>
        <v>-271</v>
      </c>
      <c r="U466" s="265">
        <f t="shared" si="954"/>
        <v>-268</v>
      </c>
      <c r="V466" s="993">
        <f t="shared" si="954"/>
        <v>-268</v>
      </c>
      <c r="W466" s="265">
        <f t="shared" si="954"/>
        <v>-266</v>
      </c>
      <c r="X466" s="265">
        <f t="shared" si="954"/>
        <v>-264</v>
      </c>
      <c r="Y466" s="265">
        <f t="shared" si="954"/>
        <v>-345</v>
      </c>
      <c r="Z466" s="210">
        <f t="shared" si="954"/>
        <v>-342</v>
      </c>
      <c r="AA466" s="994">
        <f t="shared" si="954"/>
        <v>-342</v>
      </c>
      <c r="AB466" s="265">
        <f t="shared" si="954"/>
        <v>-341</v>
      </c>
      <c r="AC466" s="265">
        <f t="shared" si="954"/>
        <v>-356</v>
      </c>
      <c r="AD466" s="265">
        <f t="shared" si="954"/>
        <v>-351</v>
      </c>
      <c r="AE466" s="210">
        <f t="shared" si="954"/>
        <v>-345</v>
      </c>
      <c r="AF466" s="994">
        <f t="shared" si="954"/>
        <v>-345</v>
      </c>
      <c r="AG466" s="265">
        <f t="shared" si="954"/>
        <v>-341</v>
      </c>
      <c r="AH466" s="265">
        <f t="shared" si="954"/>
        <v>-335</v>
      </c>
      <c r="AI466" s="265">
        <f t="shared" si="954"/>
        <v>-329</v>
      </c>
      <c r="AJ466" s="210">
        <f t="shared" si="954"/>
        <v>-330</v>
      </c>
      <c r="AK466" s="994">
        <f t="shared" si="954"/>
        <v>-330</v>
      </c>
      <c r="AL466" s="265">
        <f t="shared" si="954"/>
        <v>-322</v>
      </c>
      <c r="AM466" s="265">
        <f t="shared" si="954"/>
        <v>-319</v>
      </c>
      <c r="AN466" s="265">
        <f>-AN641</f>
        <v>-318</v>
      </c>
      <c r="AO466" s="210">
        <f t="shared" si="955" ref="AO466:AQ466">-AO641</f>
        <v>-317</v>
      </c>
      <c r="AP466" s="994">
        <f t="shared" si="955"/>
        <v>-317</v>
      </c>
      <c r="AQ466" s="265">
        <f t="shared" si="955"/>
        <v>-318</v>
      </c>
      <c r="AR466" s="265">
        <f t="shared" si="946"/>
        <v>-314</v>
      </c>
      <c r="AS466" s="265">
        <f t="shared" si="946"/>
        <v>-309</v>
      </c>
      <c r="AT466" s="210">
        <f t="shared" si="946"/>
        <v>-306</v>
      </c>
      <c r="AU466" s="994">
        <f t="shared" si="946"/>
        <v>-306</v>
      </c>
      <c r="AV466" s="265">
        <f t="shared" si="947"/>
        <v>-301</v>
      </c>
      <c r="AW466" s="265">
        <f t="shared" si="947"/>
        <v>-294</v>
      </c>
      <c r="AX466" s="265">
        <f t="shared" si="948"/>
        <v>-287</v>
      </c>
      <c r="AY466" s="210">
        <f t="shared" si="948"/>
        <v>-287</v>
      </c>
      <c r="AZ466" s="994">
        <f t="shared" si="948"/>
        <v>-287</v>
      </c>
      <c r="BA466" s="265">
        <f t="shared" si="949"/>
        <v>-285</v>
      </c>
      <c r="BB466" s="265">
        <f t="shared" si="949"/>
        <v>-283</v>
      </c>
      <c r="BC466" s="265">
        <f t="shared" si="949"/>
        <v>-278</v>
      </c>
      <c r="BD466" s="210">
        <f t="shared" si="950"/>
        <v>-277</v>
      </c>
      <c r="BE466" s="994">
        <f t="shared" si="950"/>
        <v>-277</v>
      </c>
      <c r="BF466" s="265">
        <f t="shared" si="951"/>
        <v>-376</v>
      </c>
      <c r="BG466" s="265">
        <f t="shared" si="951"/>
        <v>-371</v>
      </c>
      <c r="BH466" s="745">
        <f t="shared" si="951"/>
        <v>-368</v>
      </c>
      <c r="BI466" s="210">
        <f t="shared" si="950"/>
        <v>-368</v>
      </c>
      <c r="BJ466" s="994">
        <f t="shared" si="952"/>
        <v>-368</v>
      </c>
      <c r="BK466" s="210">
        <f t="shared" si="953"/>
        <v>-368</v>
      </c>
      <c r="BL466" s="210">
        <f t="shared" si="953"/>
        <v>-368</v>
      </c>
      <c r="BM466" s="210">
        <f t="shared" si="953"/>
        <v>-368</v>
      </c>
      <c r="BN466" s="210">
        <f t="shared" si="953"/>
        <v>-368</v>
      </c>
      <c r="BO466" s="994">
        <f t="shared" si="953"/>
        <v>-368</v>
      </c>
      <c r="BP466" s="994">
        <f t="shared" si="953"/>
        <v>-368</v>
      </c>
      <c r="BQ466" s="994">
        <f t="shared" si="953"/>
        <v>-368</v>
      </c>
      <c r="BR466" s="994">
        <f t="shared" si="953"/>
        <v>-368</v>
      </c>
      <c r="BS466" s="833"/>
    </row>
    <row r="467" spans="1:71" s="24" customFormat="1" ht="15" hidden="1" outlineLevel="1">
      <c r="A467" s="60" t="s">
        <v>530</v>
      </c>
      <c r="B467" s="478"/>
      <c r="C467" s="1033">
        <v>65</v>
      </c>
      <c r="D467" s="1033">
        <v>55</v>
      </c>
      <c r="E467" s="1033">
        <v>48</v>
      </c>
      <c r="F467" s="1033">
        <v>48</v>
      </c>
      <c r="G467" s="1033">
        <v>54</v>
      </c>
      <c r="H467" s="927">
        <v>54</v>
      </c>
      <c r="I467" s="927">
        <v>56</v>
      </c>
      <c r="J467" s="927">
        <v>56</v>
      </c>
      <c r="K467" s="205">
        <f>L467</f>
        <v>56</v>
      </c>
      <c r="L467" s="1033">
        <v>56</v>
      </c>
      <c r="M467" s="927">
        <v>57</v>
      </c>
      <c r="N467" s="927">
        <v>57</v>
      </c>
      <c r="O467" s="927">
        <v>58</v>
      </c>
      <c r="P467" s="205">
        <f>Q467</f>
        <v>60</v>
      </c>
      <c r="Q467" s="1033">
        <v>60</v>
      </c>
      <c r="R467" s="927">
        <v>60</v>
      </c>
      <c r="S467" s="927">
        <v>62</v>
      </c>
      <c r="T467" s="927">
        <v>62</v>
      </c>
      <c r="U467" s="205">
        <f>V467</f>
        <v>64</v>
      </c>
      <c r="V467" s="1033">
        <v>64</v>
      </c>
      <c r="W467" s="927">
        <v>66</v>
      </c>
      <c r="X467" s="927">
        <v>66</v>
      </c>
      <c r="Y467" s="927">
        <v>66</v>
      </c>
      <c r="Z467" s="205">
        <f>AA467</f>
        <v>44</v>
      </c>
      <c r="AA467" s="1033">
        <v>44</v>
      </c>
      <c r="AB467" s="927">
        <v>50</v>
      </c>
      <c r="AC467" s="927">
        <v>43</v>
      </c>
      <c r="AD467" s="927">
        <v>44</v>
      </c>
      <c r="AE467" s="205">
        <f>AF467</f>
        <v>44</v>
      </c>
      <c r="AF467" s="1033">
        <v>44</v>
      </c>
      <c r="AG467" s="927">
        <v>47</v>
      </c>
      <c r="AH467" s="927">
        <v>46</v>
      </c>
      <c r="AI467" s="927">
        <v>44</v>
      </c>
      <c r="AJ467" s="205">
        <f>AK467</f>
        <v>51</v>
      </c>
      <c r="AK467" s="1033">
        <v>51</v>
      </c>
      <c r="AL467" s="927">
        <v>47</v>
      </c>
      <c r="AM467" s="927">
        <v>49</v>
      </c>
      <c r="AN467" s="927">
        <v>55</v>
      </c>
      <c r="AO467" s="205">
        <f>AP467</f>
        <v>59</v>
      </c>
      <c r="AP467" s="1033">
        <v>59</v>
      </c>
      <c r="AQ467" s="927">
        <v>63</v>
      </c>
      <c r="AR467" s="927">
        <v>63</v>
      </c>
      <c r="AS467" s="927">
        <v>63</v>
      </c>
      <c r="AT467" s="205">
        <f>AU467</f>
        <v>66</v>
      </c>
      <c r="AU467" s="1033">
        <v>66</v>
      </c>
      <c r="AV467" s="927">
        <v>64</v>
      </c>
      <c r="AW467" s="927">
        <v>59</v>
      </c>
      <c r="AX467" s="927">
        <v>54</v>
      </c>
      <c r="AY467" s="205">
        <f>AZ467</f>
        <v>60</v>
      </c>
      <c r="AZ467" s="1033">
        <v>60</v>
      </c>
      <c r="BA467" s="927">
        <v>63</v>
      </c>
      <c r="BB467" s="927">
        <v>67</v>
      </c>
      <c r="BC467" s="927">
        <v>64</v>
      </c>
      <c r="BD467" s="205">
        <f>BE467</f>
        <v>69</v>
      </c>
      <c r="BE467" s="1033">
        <v>69</v>
      </c>
      <c r="BF467" s="927">
        <v>85</v>
      </c>
      <c r="BG467" s="927">
        <v>86</v>
      </c>
      <c r="BH467" s="928">
        <v>91</v>
      </c>
      <c r="BI467" s="205">
        <f>BH467</f>
        <v>91</v>
      </c>
      <c r="BJ467" s="996">
        <f t="shared" si="956" ref="BJ467">BI467</f>
        <v>91</v>
      </c>
      <c r="BK467" s="205">
        <f t="shared" si="957" ref="BK467:BR467">BJ467</f>
        <v>91</v>
      </c>
      <c r="BL467" s="205">
        <f t="shared" si="957"/>
        <v>91</v>
      </c>
      <c r="BM467" s="205">
        <f t="shared" si="957"/>
        <v>91</v>
      </c>
      <c r="BN467" s="205">
        <f t="shared" si="957"/>
        <v>91</v>
      </c>
      <c r="BO467" s="996">
        <f t="shared" si="957"/>
        <v>91</v>
      </c>
      <c r="BP467" s="996">
        <f t="shared" si="957"/>
        <v>91</v>
      </c>
      <c r="BQ467" s="996">
        <f t="shared" si="957"/>
        <v>91</v>
      </c>
      <c r="BR467" s="996">
        <f t="shared" si="957"/>
        <v>91</v>
      </c>
      <c r="BS467" s="833"/>
    </row>
    <row r="468" spans="1:71" s="181" customFormat="1" ht="15" collapsed="1">
      <c r="A468" s="423" t="s">
        <v>174</v>
      </c>
      <c r="B468" s="480"/>
      <c r="C468" s="1008">
        <f t="shared" si="958" ref="C468:AM468">SUM(C464:C467)</f>
        <v>21587</v>
      </c>
      <c r="D468" s="1008">
        <f t="shared" si="958"/>
        <v>19736</v>
      </c>
      <c r="E468" s="1008">
        <f t="shared" si="958"/>
        <v>17856</v>
      </c>
      <c r="F468" s="1008">
        <f t="shared" si="958"/>
        <v>18604</v>
      </c>
      <c r="G468" s="1008">
        <f t="shared" si="958"/>
        <v>19543</v>
      </c>
      <c r="H468" s="185">
        <f t="shared" si="958"/>
        <v>19804</v>
      </c>
      <c r="I468" s="185">
        <f t="shared" si="958"/>
        <v>19613</v>
      </c>
      <c r="J468" s="185">
        <f t="shared" si="958"/>
        <v>19526</v>
      </c>
      <c r="K468" s="185">
        <f t="shared" si="958"/>
        <v>19011</v>
      </c>
      <c r="L468" s="1008">
        <f t="shared" si="958"/>
        <v>19011</v>
      </c>
      <c r="M468" s="185">
        <f t="shared" si="958"/>
        <v>18946</v>
      </c>
      <c r="N468" s="185">
        <f t="shared" si="958"/>
        <v>18924</v>
      </c>
      <c r="O468" s="185">
        <f t="shared" si="958"/>
        <v>18818</v>
      </c>
      <c r="P468" s="185">
        <f t="shared" si="958"/>
        <v>18517</v>
      </c>
      <c r="Q468" s="1008">
        <f t="shared" si="958"/>
        <v>18517</v>
      </c>
      <c r="R468" s="185">
        <f t="shared" si="958"/>
        <v>18604</v>
      </c>
      <c r="S468" s="185">
        <f t="shared" si="958"/>
        <v>18573</v>
      </c>
      <c r="T468" s="185">
        <f t="shared" si="958"/>
        <v>18596</v>
      </c>
      <c r="U468" s="185">
        <f t="shared" si="958"/>
        <v>18707</v>
      </c>
      <c r="V468" s="1008">
        <f t="shared" si="958"/>
        <v>18707</v>
      </c>
      <c r="W468" s="185">
        <f t="shared" si="958"/>
        <v>19005</v>
      </c>
      <c r="X468" s="185">
        <f t="shared" si="958"/>
        <v>19036</v>
      </c>
      <c r="Y468" s="185">
        <f t="shared" si="958"/>
        <v>18507</v>
      </c>
      <c r="Z468" s="199">
        <f t="shared" si="958"/>
        <v>18370</v>
      </c>
      <c r="AA468" s="1009">
        <f t="shared" si="958"/>
        <v>18370</v>
      </c>
      <c r="AB468" s="185">
        <f t="shared" si="958"/>
        <v>18596</v>
      </c>
      <c r="AC468" s="185">
        <f t="shared" si="958"/>
        <v>18491</v>
      </c>
      <c r="AD468" s="185">
        <f t="shared" si="958"/>
        <v>18642</v>
      </c>
      <c r="AE468" s="199">
        <f t="shared" si="958"/>
        <v>18769</v>
      </c>
      <c r="AF468" s="1009">
        <f t="shared" si="958"/>
        <v>18769</v>
      </c>
      <c r="AG468" s="185">
        <f t="shared" si="958"/>
        <v>19090</v>
      </c>
      <c r="AH468" s="185">
        <f t="shared" si="958"/>
        <v>19211</v>
      </c>
      <c r="AI468" s="185">
        <f t="shared" si="958"/>
        <v>19039</v>
      </c>
      <c r="AJ468" s="199">
        <f t="shared" si="958"/>
        <v>19457</v>
      </c>
      <c r="AK468" s="1009">
        <f t="shared" si="958"/>
        <v>19457</v>
      </c>
      <c r="AL468" s="185">
        <f t="shared" si="958"/>
        <v>19229</v>
      </c>
      <c r="AM468" s="185">
        <f t="shared" si="958"/>
        <v>19102</v>
      </c>
      <c r="AN468" s="185">
        <f>SUM(AN464:AN467)</f>
        <v>19829</v>
      </c>
      <c r="AO468" s="199">
        <f t="shared" si="959" ref="AO468:AQ468">SUM(AO464:AO467)</f>
        <v>20893</v>
      </c>
      <c r="AP468" s="1009">
        <f t="shared" si="959"/>
        <v>20893</v>
      </c>
      <c r="AQ468" s="185">
        <f t="shared" si="959"/>
        <v>21180</v>
      </c>
      <c r="AR468" s="185">
        <f t="shared" si="960" ref="AR468:AW468">SUM(AR464:AR467)</f>
        <v>21646</v>
      </c>
      <c r="AS468" s="185">
        <f t="shared" si="960"/>
        <v>21524</v>
      </c>
      <c r="AT468" s="199">
        <f t="shared" si="960"/>
        <v>22224</v>
      </c>
      <c r="AU468" s="1009">
        <f t="shared" si="960"/>
        <v>22224</v>
      </c>
      <c r="AV468" s="185">
        <f t="shared" si="960"/>
        <v>22684</v>
      </c>
      <c r="AW468" s="185">
        <f t="shared" si="960"/>
        <v>22464</v>
      </c>
      <c r="AX468" s="185">
        <f t="shared" si="961" ref="AX468:BJ468">SUM(AX464:AX467)</f>
        <v>22068</v>
      </c>
      <c r="AY468" s="199">
        <f t="shared" si="961"/>
        <v>22279</v>
      </c>
      <c r="AZ468" s="1009">
        <f t="shared" si="961"/>
        <v>22279</v>
      </c>
      <c r="BA468" s="185">
        <f t="shared" si="962" ref="BA468:BI468">SUM(BA464:BA467)</f>
        <v>22739</v>
      </c>
      <c r="BB468" s="185">
        <f t="shared" si="962"/>
        <v>22240</v>
      </c>
      <c r="BC468" s="185">
        <f t="shared" si="962"/>
        <v>22275</v>
      </c>
      <c r="BD468" s="199">
        <f t="shared" si="962"/>
        <v>23866</v>
      </c>
      <c r="BE468" s="1009">
        <f t="shared" si="962"/>
        <v>23866</v>
      </c>
      <c r="BF468" s="185">
        <f>SUM(BF464:BF467)</f>
        <v>24201</v>
      </c>
      <c r="BG468" s="185">
        <f>SUM(BG464:BG467)</f>
        <v>24303</v>
      </c>
      <c r="BH468" s="749">
        <f>SUM(BH464:BH467)</f>
        <v>25257</v>
      </c>
      <c r="BI468" s="199">
        <f t="shared" ca="1" si="962"/>
        <v>26468.003097030072</v>
      </c>
      <c r="BJ468" s="1009">
        <f t="shared" ca="1" si="961"/>
        <v>26468.003097030072</v>
      </c>
      <c r="BK468" s="199">
        <f ca="1" t="shared" si="963" ref="BK468:BR468">SUM(BK464:BK467)</f>
        <v>27531.415774252484</v>
      </c>
      <c r="BL468" s="199">
        <f t="shared" ca="1" si="963"/>
        <v>28177.16276942371</v>
      </c>
      <c r="BM468" s="199">
        <f t="shared" ca="1" si="963"/>
        <v>29017.000256469299</v>
      </c>
      <c r="BN468" s="199">
        <f t="shared" ca="1" si="963"/>
        <v>30300.486032116343</v>
      </c>
      <c r="BO468" s="1009">
        <f t="shared" ca="1" si="963"/>
        <v>30300.486032116343</v>
      </c>
      <c r="BP468" s="1009">
        <f t="shared" ca="1" si="963"/>
        <v>34599.931142652014</v>
      </c>
      <c r="BQ468" s="1009">
        <f t="shared" ca="1" si="963"/>
        <v>39289.234470314099</v>
      </c>
      <c r="BR468" s="1009">
        <f t="shared" ca="1" si="963"/>
        <v>43481.680245735683</v>
      </c>
      <c r="BS468" s="423"/>
    </row>
    <row r="469" spans="1:71" s="182" customFormat="1" ht="15">
      <c r="A469" s="498"/>
      <c r="B469" s="466"/>
      <c r="C469" s="1022"/>
      <c r="D469" s="1022"/>
      <c r="E469" s="1022"/>
      <c r="F469" s="1022"/>
      <c r="G469" s="1022"/>
      <c r="H469" s="663"/>
      <c r="I469" s="663"/>
      <c r="J469" s="663"/>
      <c r="K469" s="663"/>
      <c r="L469" s="1022"/>
      <c r="M469" s="663"/>
      <c r="N469" s="663"/>
      <c r="O469" s="663"/>
      <c r="P469" s="663"/>
      <c r="Q469" s="1022"/>
      <c r="R469" s="663"/>
      <c r="S469" s="663"/>
      <c r="T469" s="663"/>
      <c r="U469" s="663"/>
      <c r="V469" s="1022"/>
      <c r="W469" s="663"/>
      <c r="X469" s="663"/>
      <c r="Y469" s="663"/>
      <c r="Z469" s="663"/>
      <c r="AA469" s="1022"/>
      <c r="AB469" s="663"/>
      <c r="AC469" s="663"/>
      <c r="AD469" s="663"/>
      <c r="AE469" s="663"/>
      <c r="AF469" s="1022"/>
      <c r="AG469" s="663"/>
      <c r="AH469" s="663"/>
      <c r="AI469" s="663"/>
      <c r="AJ469" s="663"/>
      <c r="AK469" s="1022"/>
      <c r="AL469" s="663"/>
      <c r="AM469" s="663"/>
      <c r="AN469" s="663"/>
      <c r="AO469" s="663"/>
      <c r="AP469" s="1022"/>
      <c r="AQ469" s="663"/>
      <c r="AR469" s="663"/>
      <c r="AS469" s="663"/>
      <c r="AT469" s="663"/>
      <c r="AU469" s="1022"/>
      <c r="AV469" s="663"/>
      <c r="AW469" s="663"/>
      <c r="AX469" s="663"/>
      <c r="AY469" s="663"/>
      <c r="AZ469" s="1022"/>
      <c r="BA469" s="663"/>
      <c r="BB469" s="663"/>
      <c r="BC469" s="663"/>
      <c r="BD469" s="663"/>
      <c r="BE469" s="1022"/>
      <c r="BF469" s="663"/>
      <c r="BG469" s="663"/>
      <c r="BH469" s="759"/>
      <c r="BI469" s="663"/>
      <c r="BJ469" s="1022"/>
      <c r="BK469" s="663"/>
      <c r="BL469" s="663"/>
      <c r="BM469" s="663"/>
      <c r="BN469" s="663"/>
      <c r="BO469" s="1022"/>
      <c r="BP469" s="1022"/>
      <c r="BQ469" s="1022"/>
      <c r="BR469" s="1022"/>
      <c r="BS469" s="662"/>
    </row>
    <row r="470" spans="1:71" s="30" customFormat="1" ht="15">
      <c r="A470" s="188" t="s">
        <v>175</v>
      </c>
      <c r="B470" s="217"/>
      <c r="C470" s="1062">
        <f t="shared" si="964" ref="C470:AQ470">ROUND(INDEX(MO_BSS_TotalCommonEquity,0,COLUMN())/INDEX(MO_RIS_ShareCount_EoPB,0,COLUMN()),6)</f>
        <v>52.538919999999997</v>
      </c>
      <c r="D470" s="1062">
        <f t="shared" si="964"/>
        <v>58.460653000000001</v>
      </c>
      <c r="E470" s="1062">
        <f t="shared" si="964"/>
        <v>62.314155</v>
      </c>
      <c r="F470" s="1062">
        <f t="shared" si="964"/>
        <v>67.315844999999996</v>
      </c>
      <c r="G470" s="1062">
        <f t="shared" si="964"/>
        <v>70.144272000000001</v>
      </c>
      <c r="H470" s="220">
        <f t="shared" si="964"/>
        <v>73.056115000000005</v>
      </c>
      <c r="I470" s="220">
        <f t="shared" si="964"/>
        <v>75.315634000000003</v>
      </c>
      <c r="J470" s="220">
        <f t="shared" si="964"/>
        <v>76.406155999999996</v>
      </c>
      <c r="K470" s="220">
        <f t="shared" si="964"/>
        <v>77.082556999999994</v>
      </c>
      <c r="L470" s="1062">
        <f t="shared" si="964"/>
        <v>77.082556999999994</v>
      </c>
      <c r="M470" s="220">
        <f t="shared" si="964"/>
        <v>77.963601999999995</v>
      </c>
      <c r="N470" s="220">
        <f t="shared" si="964"/>
        <v>77.509640000000005</v>
      </c>
      <c r="O470" s="220">
        <f t="shared" si="964"/>
        <v>79.003945000000002</v>
      </c>
      <c r="P470" s="220">
        <f t="shared" si="964"/>
        <v>79.749915999999999</v>
      </c>
      <c r="Q470" s="1062">
        <f t="shared" si="964"/>
        <v>79.749915999999999</v>
      </c>
      <c r="R470" s="220">
        <f t="shared" si="964"/>
        <v>82.647058999999999</v>
      </c>
      <c r="S470" s="220">
        <f t="shared" si="964"/>
        <v>85.723204999999993</v>
      </c>
      <c r="T470" s="220">
        <f t="shared" si="964"/>
        <v>86.022526999999997</v>
      </c>
      <c r="U470" s="220">
        <f t="shared" si="964"/>
        <v>83.050787</v>
      </c>
      <c r="V470" s="1062">
        <f t="shared" si="964"/>
        <v>83.050787</v>
      </c>
      <c r="W470" s="220">
        <f t="shared" si="964"/>
        <v>84.509664000000001</v>
      </c>
      <c r="X470" s="220">
        <f t="shared" si="964"/>
        <v>86.47336</v>
      </c>
      <c r="Y470" s="220">
        <f t="shared" si="964"/>
        <v>86.729996</v>
      </c>
      <c r="Z470" s="220">
        <f t="shared" si="964"/>
        <v>87.439204000000004</v>
      </c>
      <c r="AA470" s="1062">
        <f t="shared" si="964"/>
        <v>87.439204000000004</v>
      </c>
      <c r="AB470" s="220">
        <f t="shared" si="964"/>
        <v>85.044411999999994</v>
      </c>
      <c r="AC470" s="220">
        <f t="shared" si="964"/>
        <v>84.508778000000007</v>
      </c>
      <c r="AD470" s="220">
        <f t="shared" si="964"/>
        <v>84.818731</v>
      </c>
      <c r="AE470" s="220">
        <f t="shared" si="964"/>
        <v>86.851290000000006</v>
      </c>
      <c r="AF470" s="1062">
        <f t="shared" si="964"/>
        <v>86.851290000000006</v>
      </c>
      <c r="AG470" s="220">
        <f t="shared" si="964"/>
        <v>92.936234999999996</v>
      </c>
      <c r="AH470" s="220">
        <f t="shared" si="964"/>
        <v>97.276219999999995</v>
      </c>
      <c r="AI470" s="220">
        <f t="shared" si="964"/>
        <v>99.213482999999997</v>
      </c>
      <c r="AJ470" s="220">
        <f t="shared" si="964"/>
        <v>101.53816</v>
      </c>
      <c r="AK470" s="1062">
        <f t="shared" si="964"/>
        <v>101.53816</v>
      </c>
      <c r="AL470" s="220">
        <f t="shared" si="964"/>
        <v>99.699366999999995</v>
      </c>
      <c r="AM470" s="220">
        <f t="shared" si="964"/>
        <v>106.409953</v>
      </c>
      <c r="AN470" s="220">
        <f>ROUND(INDEX(MO_BSS_TotalCommonEquity,0,COLUMN())/INDEX(MO_RIS_ShareCount_EoPB,0,COLUMN()),6)</f>
        <v>109.94473000000001</v>
      </c>
      <c r="AO470" s="220">
        <f t="shared" si="964"/>
        <v>115.693344</v>
      </c>
      <c r="AP470" s="1062">
        <f t="shared" si="964"/>
        <v>115.693344</v>
      </c>
      <c r="AQ470" s="220">
        <f t="shared" si="964"/>
        <v>112.40159</v>
      </c>
      <c r="AR470" s="220">
        <f t="shared" si="965" ref="AR470:AW470">ROUND(INDEX(MO_BSS_TotalCommonEquity,0,COLUMN())/INDEX(MO_RIS_ShareCount_EoPB,0,COLUMN()),6)</f>
        <v>116.857715</v>
      </c>
      <c r="AS470" s="220">
        <f t="shared" si="965"/>
        <v>115.747967</v>
      </c>
      <c r="AT470" s="220">
        <f t="shared" si="965"/>
        <v>119.763682</v>
      </c>
      <c r="AU470" s="1062">
        <f t="shared" si="965"/>
        <v>119.763682</v>
      </c>
      <c r="AV470" s="220">
        <f t="shared" si="965"/>
        <v>106.379167</v>
      </c>
      <c r="AW470" s="220">
        <f t="shared" si="965"/>
        <v>96.392752000000002</v>
      </c>
      <c r="AX470" s="220">
        <f t="shared" si="966" ref="AX470:BJ470">ROUND(INDEX(MO_BSS_TotalCommonEquity,0,COLUMN())/INDEX(MO_RIS_ShareCount_EoPB,0,COLUMN()),6)</f>
        <v>84.959453999999994</v>
      </c>
      <c r="AY470" s="220">
        <f t="shared" si="966"/>
        <v>92.890995000000004</v>
      </c>
      <c r="AZ470" s="1062">
        <f t="shared" si="966"/>
        <v>92.890995000000004</v>
      </c>
      <c r="BA470" s="220">
        <f t="shared" si="967" ref="BA470:BI470">ROUND(INDEX(MO_BSS_TotalCommonEquity,0,COLUMN())/INDEX(MO_RIS_ShareCount_EoPB,0,COLUMN()),6)</f>
        <v>99.792208000000002</v>
      </c>
      <c r="BB470" s="220">
        <f t="shared" si="967"/>
        <v>95.478375</v>
      </c>
      <c r="BC470" s="220">
        <f t="shared" si="967"/>
        <v>87.469352000000001</v>
      </c>
      <c r="BD470" s="220">
        <f t="shared" si="967"/>
        <v>109.206836</v>
      </c>
      <c r="BE470" s="1062">
        <f t="shared" si="967"/>
        <v>109.206836</v>
      </c>
      <c r="BF470" s="220">
        <f>ROUND(INDEX(MO_BSS_TotalCommonEquity,0,COLUMN())/INDEX(MO_RIS_ShareCount_EoPB,0,COLUMN()),6)</f>
        <v>109.26637599999999</v>
      </c>
      <c r="BG470" s="220">
        <f>ROUND(INDEX(MO_BSS_TotalCommonEquity,0,COLUMN())/INDEX(MO_RIS_ShareCount_EoPB,0,COLUMN()),6)</f>
        <v>109.091707</v>
      </c>
      <c r="BH470" s="846">
        <f>ROUND(INDEX(MO_BSS_TotalCommonEquity,0,COLUMN())/INDEX(MO_RIS_ShareCount_EoPB,0,COLUMN()),6)</f>
        <v>122.00881099999999</v>
      </c>
      <c r="BI470" s="218">
        <f t="shared" ca="1" si="967"/>
        <v>127.343626</v>
      </c>
      <c r="BJ470" s="1063">
        <f t="shared" ca="1" si="966"/>
        <v>127.343626</v>
      </c>
      <c r="BK470" s="218">
        <f ca="1" t="shared" si="968" ref="BK470:BR470">ROUND(INDEX(MO_BSS_TotalCommonEquity,0,COLUMN())/INDEX(MO_RIS_ShareCount_EoPB,0,COLUMN()),6)</f>
        <v>132.02826300000001</v>
      </c>
      <c r="BL470" s="218">
        <f t="shared" ca="1" si="968"/>
        <v>134.872964</v>
      </c>
      <c r="BM470" s="218">
        <f t="shared" ca="1" si="968"/>
        <v>138.572688</v>
      </c>
      <c r="BN470" s="218">
        <f t="shared" ca="1" si="968"/>
        <v>144.226811</v>
      </c>
      <c r="BO470" s="1063">
        <f t="shared" ca="1" si="968"/>
        <v>144.226811</v>
      </c>
      <c r="BP470" s="1063">
        <f t="shared" ca="1" si="968"/>
        <v>163.16709800000001</v>
      </c>
      <c r="BQ470" s="1063">
        <f t="shared" ca="1" si="968"/>
        <v>183.82482099999999</v>
      </c>
      <c r="BR470" s="1063">
        <f t="shared" ca="1" si="968"/>
        <v>202.293746</v>
      </c>
      <c r="BS470" s="220"/>
    </row>
    <row r="471" spans="1:71" s="213" customFormat="1" ht="15">
      <c r="A471" s="374" t="str">
        <f>CONCATENATE("Consensus Estimates - ",IFERROR(LEFT(A470,FIND("(",A470)-1),A470))</f>
        <v>Consensus Estimates - Book Value per Common Share</v>
      </c>
      <c r="B471" s="115"/>
      <c r="C471" s="1064"/>
      <c r="D471" s="1064"/>
      <c r="E471" s="1064"/>
      <c r="F471" s="1064"/>
      <c r="G471" s="1064"/>
      <c r="H471" s="79"/>
      <c r="I471" s="79"/>
      <c r="J471" s="79"/>
      <c r="K471" s="79"/>
      <c r="L471" s="1064"/>
      <c r="M471" s="79"/>
      <c r="N471" s="79"/>
      <c r="O471" s="79"/>
      <c r="P471" s="79"/>
      <c r="Q471" s="1064"/>
      <c r="R471" s="79"/>
      <c r="S471" s="80"/>
      <c r="T471" s="79"/>
      <c r="U471" s="79"/>
      <c r="V471" s="1064"/>
      <c r="W471" s="79"/>
      <c r="X471" s="80"/>
      <c r="Y471" s="79"/>
      <c r="Z471" s="79"/>
      <c r="AA471" s="1065"/>
      <c r="AB471" s="79"/>
      <c r="AC471" s="80"/>
      <c r="AD471" s="79"/>
      <c r="AE471" s="79"/>
      <c r="AF471" s="1065"/>
      <c r="AG471" s="79"/>
      <c r="AH471" s="80"/>
      <c r="AI471" s="79"/>
      <c r="AJ471" s="79"/>
      <c r="AK471" s="1065"/>
      <c r="AL471" s="79"/>
      <c r="AM471" s="80"/>
      <c r="AN471" s="79"/>
      <c r="AO471" s="79"/>
      <c r="AP471" s="1065"/>
      <c r="AQ471" s="79"/>
      <c r="AR471" s="80"/>
      <c r="AS471" s="79"/>
      <c r="AT471" s="79"/>
      <c r="AU471" s="1065"/>
      <c r="AV471" s="79"/>
      <c r="AW471" s="80"/>
      <c r="AX471" s="79"/>
      <c r="AY471" s="79"/>
      <c r="AZ471" s="1065"/>
      <c r="BA471" s="79"/>
      <c r="BB471" s="80"/>
      <c r="BC471" s="79"/>
      <c r="BD471" s="79"/>
      <c r="BE471" s="1065"/>
      <c r="BF471" s="79"/>
      <c r="BG471" s="80"/>
      <c r="BH471" s="822"/>
      <c r="BI471" s="807" t="str">
        <f ca="1" t="shared" si="969" ref="BI471:BO471">IFERROR(VLOOKUP($A471,tb_ConsensusEstimate,MATCH(BI$5,OFFSET(tb_ConsensusEstimate,0,0,1,COLUMNS(tb_ConsensusEstimate)),0),FALSE),"-")</f>
        <v>N/A</v>
      </c>
      <c r="BJ471" s="1065" t="str">
        <f t="shared" ca="1" si="969"/>
        <v>N/A</v>
      </c>
      <c r="BK471" s="807" t="str">
        <f t="shared" ca="1" si="969"/>
        <v>N/A</v>
      </c>
      <c r="BL471" s="807" t="str">
        <f t="shared" ca="1" si="969"/>
        <v>N/A</v>
      </c>
      <c r="BM471" s="807" t="str">
        <f t="shared" ca="1" si="969"/>
        <v>N/A</v>
      </c>
      <c r="BN471" s="807" t="str">
        <f t="shared" ca="1" si="969"/>
        <v>N/A</v>
      </c>
      <c r="BO471" s="1065" t="str">
        <f t="shared" ca="1" si="969"/>
        <v>N/A</v>
      </c>
      <c r="BP471" s="1065" t="str">
        <f ca="1">IFERROR(VLOOKUP($A471,tb_ConsensusEstimate,MATCH(BP5,OFFSET(tb_ConsensusEstimate,0,0,1,COLUMNS(tb_ConsensusEstimate)),0),FALSE),"-")</f>
        <v>N/A</v>
      </c>
      <c r="BQ471" s="1065" t="str">
        <f ca="1">IFERROR(VLOOKUP($A471,tb_ConsensusEstimate,MATCH(BQ5,OFFSET(tb_ConsensusEstimate,0,0,1,COLUMNS(tb_ConsensusEstimate)),0),FALSE),"-")</f>
        <v>N/A</v>
      </c>
      <c r="BR471" s="1065" t="str">
        <f ca="1">IFERROR(VLOOKUP($A471,tb_ConsensusEstimate,MATCH(BR5,OFFSET(tb_ConsensusEstimate,0,0,1,COLUMNS(tb_ConsensusEstimate)),0),FALSE),"-")</f>
        <v>N/A</v>
      </c>
      <c r="BS471" s="79"/>
    </row>
    <row r="472" spans="1:71" s="213" customFormat="1" ht="15">
      <c r="A472" s="188" t="s">
        <v>176</v>
      </c>
      <c r="B472" s="217"/>
      <c r="C472" s="1063">
        <f t="shared" si="970" ref="C472:AQ472">ROUND(INDEX(MO_BSS_AdjustedCommonEquity,0,COLUMN())/INDEX(MO_RIS_ShareCount_EoPB,0,COLUMN()),6)</f>
        <v>48.962136999999998</v>
      </c>
      <c r="D472" s="1063">
        <f t="shared" si="970"/>
        <v>54.183157000000001</v>
      </c>
      <c r="E472" s="1063">
        <f t="shared" si="970"/>
        <v>55.005091999999998</v>
      </c>
      <c r="F472" s="1063">
        <f t="shared" si="970"/>
        <v>59.093800000000002</v>
      </c>
      <c r="G472" s="1063">
        <f t="shared" si="970"/>
        <v>66.404526000000004</v>
      </c>
      <c r="H472" s="218">
        <f t="shared" si="970"/>
        <v>68.238849000000002</v>
      </c>
      <c r="I472" s="218">
        <f t="shared" si="970"/>
        <v>69.377581000000006</v>
      </c>
      <c r="J472" s="218">
        <f t="shared" si="970"/>
        <v>70.630657999999997</v>
      </c>
      <c r="K472" s="218">
        <f t="shared" si="970"/>
        <v>70.980756999999997</v>
      </c>
      <c r="L472" s="1063">
        <f t="shared" si="970"/>
        <v>70.980756999999997</v>
      </c>
      <c r="M472" s="218">
        <f t="shared" si="970"/>
        <v>71.449639000000005</v>
      </c>
      <c r="N472" s="218">
        <f t="shared" si="970"/>
        <v>73.088046000000006</v>
      </c>
      <c r="O472" s="218">
        <f t="shared" si="970"/>
        <v>74.355687000000003</v>
      </c>
      <c r="P472" s="218">
        <f t="shared" si="970"/>
        <v>75.393714000000003</v>
      </c>
      <c r="Q472" s="1063">
        <f t="shared" si="970"/>
        <v>75.393714000000003</v>
      </c>
      <c r="R472" s="218">
        <f t="shared" si="970"/>
        <v>76.631326999999999</v>
      </c>
      <c r="S472" s="383">
        <f t="shared" si="970"/>
        <v>77.603190999999995</v>
      </c>
      <c r="T472" s="218">
        <f t="shared" si="970"/>
        <v>78.810277999999997</v>
      </c>
      <c r="U472" s="218">
        <f t="shared" si="970"/>
        <v>80.439914000000002</v>
      </c>
      <c r="V472" s="1063">
        <f t="shared" si="970"/>
        <v>80.439914000000002</v>
      </c>
      <c r="W472" s="218">
        <f t="shared" si="970"/>
        <v>81.564065999999997</v>
      </c>
      <c r="X472" s="383">
        <f t="shared" si="970"/>
        <v>82.722001000000006</v>
      </c>
      <c r="Y472" s="218">
        <f t="shared" si="970"/>
        <v>83.054439000000002</v>
      </c>
      <c r="Z472" s="218">
        <f t="shared" si="970"/>
        <v>83.341931000000002</v>
      </c>
      <c r="AA472" s="1086">
        <f t="shared" si="970"/>
        <v>83.341931000000002</v>
      </c>
      <c r="AB472" s="218">
        <f t="shared" si="970"/>
        <v>84.552183999999997</v>
      </c>
      <c r="AC472" s="383">
        <f t="shared" si="970"/>
        <v>84.927156999999994</v>
      </c>
      <c r="AD472" s="218">
        <f t="shared" si="970"/>
        <v>86.506798000000003</v>
      </c>
      <c r="AE472" s="218">
        <f t="shared" si="970"/>
        <v>87.279970000000006</v>
      </c>
      <c r="AF472" s="1086">
        <f t="shared" si="970"/>
        <v>87.279970000000006</v>
      </c>
      <c r="AG472" s="218">
        <f t="shared" si="970"/>
        <v>89.091256000000001</v>
      </c>
      <c r="AH472" s="383">
        <f t="shared" si="970"/>
        <v>90.061468000000005</v>
      </c>
      <c r="AI472" s="218">
        <f t="shared" si="970"/>
        <v>90.092986999999994</v>
      </c>
      <c r="AJ472" s="218">
        <f t="shared" si="970"/>
        <v>92.747553999999994</v>
      </c>
      <c r="AK472" s="1086">
        <f t="shared" si="970"/>
        <v>92.747553999999994</v>
      </c>
      <c r="AL472" s="218">
        <f t="shared" si="970"/>
        <v>92.638448999999994</v>
      </c>
      <c r="AM472" s="383">
        <f t="shared" si="970"/>
        <v>92.010268999999994</v>
      </c>
      <c r="AN472" s="218">
        <f>ROUND(INDEX(MO_BSS_AdjustedCommonEquity,0,COLUMN())/INDEX(MO_RIS_ShareCount_EoPB,0,COLUMN()),6)</f>
        <v>94.895381</v>
      </c>
      <c r="AO472" s="218">
        <f t="shared" si="970"/>
        <v>99.552297999999993</v>
      </c>
      <c r="AP472" s="1086">
        <f t="shared" si="970"/>
        <v>99.552297999999993</v>
      </c>
      <c r="AQ472" s="218">
        <f t="shared" si="970"/>
        <v>101.200795</v>
      </c>
      <c r="AR472" s="383">
        <f t="shared" si="971" ref="AR472:AW472">ROUND(INDEX(MO_BSS_AdjustedCommonEquity,0,COLUMN())/INDEX(MO_RIS_ShareCount_EoPB,0,COLUMN()),6)</f>
        <v>103.87575200000001</v>
      </c>
      <c r="AS472" s="218">
        <f t="shared" si="971"/>
        <v>104.77642299999999</v>
      </c>
      <c r="AT472" s="218">
        <f t="shared" si="971"/>
        <v>109.751244</v>
      </c>
      <c r="AU472" s="1086">
        <f t="shared" si="971"/>
        <v>109.751244</v>
      </c>
      <c r="AV472" s="218">
        <f t="shared" si="971"/>
        <v>112.175</v>
      </c>
      <c r="AW472" s="383">
        <f t="shared" si="971"/>
        <v>112.372524</v>
      </c>
      <c r="AX472" s="218">
        <f t="shared" si="972" ref="AX472:BJ472">ROUND(INDEX(MO_BSS_AdjustedCommonEquity,0,COLUMN())/INDEX(MO_RIS_ShareCount_EoPB,0,COLUMN()),6)</f>
        <v>111.920615</v>
      </c>
      <c r="AY472" s="218">
        <f t="shared" si="972"/>
        <v>113.993968</v>
      </c>
      <c r="AZ472" s="1086">
        <f t="shared" si="972"/>
        <v>113.993968</v>
      </c>
      <c r="BA472" s="218">
        <f t="shared" si="973" ref="BA472:BI472">ROUND(INDEX(MO_BSS_AdjustedCommonEquity,0,COLUMN())/INDEX(MO_RIS_ShareCount_EoPB,0,COLUMN()),6)</f>
        <v>116.53679700000001</v>
      </c>
      <c r="BB472" s="383">
        <f t="shared" si="973"/>
        <v>115.46963700000001</v>
      </c>
      <c r="BC472" s="218">
        <f t="shared" si="973"/>
        <v>115.779335</v>
      </c>
      <c r="BD472" s="218">
        <f t="shared" si="973"/>
        <v>122.918493</v>
      </c>
      <c r="BE472" s="1086">
        <f t="shared" si="973"/>
        <v>122.918493</v>
      </c>
      <c r="BF472" s="218">
        <f>ROUND(INDEX(MO_BSS_AdjustedCommonEquity,0,COLUMN())/INDEX(MO_RIS_ShareCount_EoPB,0,COLUMN()),6)</f>
        <v>125.51528399999999</v>
      </c>
      <c r="BG472" s="383">
        <f>ROUND(INDEX(MO_BSS_AdjustedCommonEquity,0,COLUMN())/INDEX(MO_RIS_ShareCount_EoPB,0,COLUMN()),6)</f>
        <v>126.537955</v>
      </c>
      <c r="BH472" s="823">
        <f>ROUND(INDEX(MO_BSS_AdjustedCommonEquity,0,COLUMN())/INDEX(MO_RIS_ShareCount_EoPB,0,COLUMN()),6)</f>
        <v>131.30837</v>
      </c>
      <c r="BI472" s="218">
        <f t="shared" ca="1" si="973"/>
        <v>136.64318499999999</v>
      </c>
      <c r="BJ472" s="1086">
        <f t="shared" ca="1" si="972"/>
        <v>136.64318499999999</v>
      </c>
      <c r="BK472" s="218">
        <f ca="1" t="shared" si="974" ref="BK472:BR472">ROUND(INDEX(MO_BSS_AdjustedCommonEquity,0,COLUMN())/INDEX(MO_RIS_ShareCount_EoPB,0,COLUMN()),6)</f>
        <v>141.327823</v>
      </c>
      <c r="BL472" s="218">
        <f t="shared" ca="1" si="974"/>
        <v>144.17252300000001</v>
      </c>
      <c r="BM472" s="218">
        <f t="shared" ca="1" si="974"/>
        <v>147.87224800000001</v>
      </c>
      <c r="BN472" s="218">
        <f t="shared" ca="1" si="974"/>
        <v>153.52636999999999</v>
      </c>
      <c r="BO472" s="1086">
        <f t="shared" ca="1" si="974"/>
        <v>153.52636999999999</v>
      </c>
      <c r="BP472" s="1086">
        <f t="shared" ca="1" si="974"/>
        <v>172.466657</v>
      </c>
      <c r="BQ472" s="1086">
        <f t="shared" ca="1" si="974"/>
        <v>193.124381</v>
      </c>
      <c r="BR472" s="1086">
        <f t="shared" ca="1" si="974"/>
        <v>211.59330499999999</v>
      </c>
      <c r="BS472" s="79"/>
    </row>
    <row r="473" spans="1:71" s="32" customFormat="1" ht="15">
      <c r="A473" s="135" t="s">
        <v>177</v>
      </c>
      <c r="B473" s="487"/>
      <c r="C473" s="1074">
        <f t="shared" si="975" ref="C473:AQ473">ROUND(INDEX(MO_BSS_TangibleCommonEquity,0,COLUMN())/INDEX(MO_RIS_ShareCount_EoPB,0,COLUMN()),6)</f>
        <v>41.489525</v>
      </c>
      <c r="D473" s="1074">
        <f t="shared" si="975"/>
        <v>45.411873</v>
      </c>
      <c r="E473" s="1074">
        <f t="shared" si="975"/>
        <v>45.458247999999998</v>
      </c>
      <c r="F473" s="1074">
        <f t="shared" si="975"/>
        <v>49.295178</v>
      </c>
      <c r="G473" s="1074">
        <f t="shared" si="975"/>
        <v>55.284300000000002</v>
      </c>
      <c r="H473" s="300">
        <f t="shared" si="975"/>
        <v>56.989927999999999</v>
      </c>
      <c r="I473" s="300">
        <f t="shared" si="975"/>
        <v>57.855457000000001</v>
      </c>
      <c r="J473" s="300">
        <f t="shared" si="975"/>
        <v>58.919733999999998</v>
      </c>
      <c r="K473" s="300">
        <f t="shared" si="975"/>
        <v>59.003723999999998</v>
      </c>
      <c r="L473" s="1074">
        <f t="shared" si="975"/>
        <v>59.003723999999998</v>
      </c>
      <c r="M473" s="300">
        <f t="shared" si="975"/>
        <v>59.447757000000003</v>
      </c>
      <c r="N473" s="300">
        <f t="shared" si="975"/>
        <v>60.809769000000003</v>
      </c>
      <c r="O473" s="300">
        <f t="shared" si="975"/>
        <v>61.860618000000002</v>
      </c>
      <c r="P473" s="300">
        <f t="shared" si="975"/>
        <v>62.578574000000003</v>
      </c>
      <c r="Q473" s="1074">
        <f t="shared" si="975"/>
        <v>62.578574000000003</v>
      </c>
      <c r="R473" s="300">
        <f t="shared" si="975"/>
        <v>63.625171000000002</v>
      </c>
      <c r="S473" s="300">
        <f t="shared" si="975"/>
        <v>64.422477000000001</v>
      </c>
      <c r="T473" s="300">
        <f t="shared" si="975"/>
        <v>65.455825000000004</v>
      </c>
      <c r="U473" s="300">
        <f t="shared" si="975"/>
        <v>66.906295</v>
      </c>
      <c r="V473" s="1074">
        <f t="shared" si="975"/>
        <v>66.906295</v>
      </c>
      <c r="W473" s="300">
        <f t="shared" si="975"/>
        <v>68.020758999999998</v>
      </c>
      <c r="X473" s="300">
        <f t="shared" si="975"/>
        <v>68.996013000000005</v>
      </c>
      <c r="Y473" s="300">
        <f t="shared" si="975"/>
        <v>67.617829999999998</v>
      </c>
      <c r="Z473" s="300">
        <f t="shared" si="975"/>
        <v>67.686071999999996</v>
      </c>
      <c r="AA473" s="1074">
        <f t="shared" si="975"/>
        <v>67.686071999999996</v>
      </c>
      <c r="AB473" s="300">
        <f t="shared" si="975"/>
        <v>68.823093999999998</v>
      </c>
      <c r="AC473" s="300">
        <f t="shared" si="975"/>
        <v>69.073589999999996</v>
      </c>
      <c r="AD473" s="300">
        <f t="shared" si="975"/>
        <v>70.400301999999996</v>
      </c>
      <c r="AE473" s="300">
        <f t="shared" si="975"/>
        <v>71.202579999999998</v>
      </c>
      <c r="AF473" s="1074">
        <f t="shared" si="975"/>
        <v>71.202579999999998</v>
      </c>
      <c r="AG473" s="300">
        <f t="shared" si="975"/>
        <v>72.890416000000002</v>
      </c>
      <c r="AH473" s="300">
        <f t="shared" si="975"/>
        <v>73.803303999999997</v>
      </c>
      <c r="AI473" s="300">
        <f t="shared" si="975"/>
        <v>73.765981999999994</v>
      </c>
      <c r="AJ473" s="300">
        <f t="shared" si="975"/>
        <v>76.152642</v>
      </c>
      <c r="AK473" s="1074">
        <f t="shared" si="975"/>
        <v>76.152642</v>
      </c>
      <c r="AL473" s="300">
        <f t="shared" si="975"/>
        <v>76.064081999999999</v>
      </c>
      <c r="AM473" s="300">
        <f t="shared" si="975"/>
        <v>75.442338000000007</v>
      </c>
      <c r="AN473" s="300">
        <f>ROUND(INDEX(MO_BSS_TangibleCommonEquity,0,COLUMN())/INDEX(MO_RIS_ShareCount_EoPB,0,COLUMN()),6)</f>
        <v>78.282668999999999</v>
      </c>
      <c r="AO473" s="300">
        <f t="shared" si="975"/>
        <v>82.777338</v>
      </c>
      <c r="AP473" s="1074">
        <f t="shared" si="975"/>
        <v>82.777338</v>
      </c>
      <c r="AQ473" s="300">
        <f t="shared" si="975"/>
        <v>84.214712000000006</v>
      </c>
      <c r="AR473" s="300">
        <f t="shared" si="976" ref="AR473:AW473">ROUND(INDEX(MO_BSS_TangibleCommonEquity,0,COLUMN())/INDEX(MO_RIS_ShareCount_EoPB,0,COLUMN()),6)</f>
        <v>86.757514999999998</v>
      </c>
      <c r="AS473" s="300">
        <f t="shared" si="976"/>
        <v>87.495935000000003</v>
      </c>
      <c r="AT473" s="300">
        <f t="shared" si="976"/>
        <v>92.139302999999998</v>
      </c>
      <c r="AU473" s="1074">
        <f t="shared" si="976"/>
        <v>92.139302999999998</v>
      </c>
      <c r="AV473" s="300">
        <f t="shared" si="976"/>
        <v>94.516666999999998</v>
      </c>
      <c r="AW473" s="300">
        <f t="shared" si="976"/>
        <v>94.664980999999997</v>
      </c>
      <c r="AX473" s="300">
        <f t="shared" si="977" ref="AX473:BJ473">ROUND(INDEX(MO_BSS_TangibleCommonEquity,0,COLUMN())/INDEX(MO_RIS_ShareCount_EoPB,0,COLUMN()),6)</f>
        <v>94.186940000000007</v>
      </c>
      <c r="AY473" s="300">
        <f t="shared" si="977"/>
        <v>95.988798000000003</v>
      </c>
      <c r="AZ473" s="1074">
        <f t="shared" si="977"/>
        <v>95.988798000000003</v>
      </c>
      <c r="BA473" s="300">
        <f t="shared" si="978" ref="BA473:BI473">ROUND(INDEX(MO_BSS_TangibleCommonEquity,0,COLUMN())/INDEX(MO_RIS_ShareCount_EoPB,0,COLUMN()),6)</f>
        <v>98.437229000000002</v>
      </c>
      <c r="BB473" s="300">
        <f t="shared" si="978"/>
        <v>97.160331999999997</v>
      </c>
      <c r="BC473" s="300">
        <f t="shared" si="978"/>
        <v>97.526269999999997</v>
      </c>
      <c r="BD473" s="300">
        <f t="shared" si="978"/>
        <v>104.583699</v>
      </c>
      <c r="BE473" s="1074">
        <f t="shared" si="978"/>
        <v>104.583699</v>
      </c>
      <c r="BF473" s="300">
        <f>ROUND(INDEX(MO_BSS_TangibleCommonEquity,0,COLUMN())/INDEX(MO_RIS_ShareCount_EoPB,0,COLUMN()),6)</f>
        <v>105.681223</v>
      </c>
      <c r="BG473" s="300">
        <f>ROUND(INDEX(MO_BSS_TangibleCommonEquity,0,COLUMN())/INDEX(MO_RIS_ShareCount_EoPB,0,COLUMN()),6)</f>
        <v>106.63887699999999</v>
      </c>
      <c r="BH473" s="844">
        <f>ROUND(INDEX(MO_BSS_TangibleCommonEquity,0,COLUMN())/INDEX(MO_RIS_ShareCount_EoPB,0,COLUMN()),6)</f>
        <v>111.26431700000001</v>
      </c>
      <c r="BI473" s="301">
        <f t="shared" ca="1" si="978"/>
        <v>116.59913299999999</v>
      </c>
      <c r="BJ473" s="1048">
        <f t="shared" ca="1" si="977"/>
        <v>116.59913299999999</v>
      </c>
      <c r="BK473" s="301">
        <f ca="1" t="shared" si="979" ref="BK473:BR473">ROUND(INDEX(MO_BSS_TangibleCommonEquity,0,COLUMN())/INDEX(MO_RIS_ShareCount_EoPB,0,COLUMN()),6)</f>
        <v>121.28377</v>
      </c>
      <c r="BL473" s="301">
        <f t="shared" ca="1" si="979"/>
        <v>124.12846999999999</v>
      </c>
      <c r="BM473" s="301">
        <f t="shared" ca="1" si="979"/>
        <v>127.82819499999999</v>
      </c>
      <c r="BN473" s="301">
        <f t="shared" ca="1" si="979"/>
        <v>133.48231699999999</v>
      </c>
      <c r="BO473" s="1048">
        <f t="shared" ca="1" si="979"/>
        <v>133.48231699999999</v>
      </c>
      <c r="BP473" s="1048">
        <f t="shared" ca="1" si="979"/>
        <v>152.42260400000001</v>
      </c>
      <c r="BQ473" s="1048">
        <f t="shared" ca="1" si="979"/>
        <v>173.08032800000001</v>
      </c>
      <c r="BR473" s="1048">
        <f t="shared" ca="1" si="979"/>
        <v>191.549252</v>
      </c>
      <c r="BS473" s="300"/>
    </row>
    <row r="474" spans="1:71" s="182" customFormat="1" ht="15">
      <c r="A474" s="499"/>
      <c r="B474" s="466"/>
      <c r="C474" s="1022"/>
      <c r="D474" s="1022"/>
      <c r="E474" s="1022"/>
      <c r="F474" s="1022"/>
      <c r="G474" s="1022"/>
      <c r="H474" s="663"/>
      <c r="I474" s="663"/>
      <c r="J474" s="663"/>
      <c r="K474" s="663"/>
      <c r="L474" s="1022"/>
      <c r="M474" s="663"/>
      <c r="N474" s="663"/>
      <c r="O474" s="663"/>
      <c r="P474" s="663"/>
      <c r="Q474" s="1022"/>
      <c r="R474" s="663"/>
      <c r="S474" s="663"/>
      <c r="T474" s="663"/>
      <c r="U474" s="663"/>
      <c r="V474" s="1022"/>
      <c r="W474" s="663"/>
      <c r="X474" s="663"/>
      <c r="Y474" s="663"/>
      <c r="Z474" s="663"/>
      <c r="AA474" s="1022"/>
      <c r="AB474" s="663"/>
      <c r="AC474" s="663"/>
      <c r="AD474" s="663"/>
      <c r="AE474" s="663"/>
      <c r="AF474" s="1022"/>
      <c r="AG474" s="663"/>
      <c r="AH474" s="663"/>
      <c r="AI474" s="663"/>
      <c r="AJ474" s="663"/>
      <c r="AK474" s="1022"/>
      <c r="AL474" s="663"/>
      <c r="AM474" s="663"/>
      <c r="AN474" s="663"/>
      <c r="AO474" s="663"/>
      <c r="AP474" s="1022"/>
      <c r="AQ474" s="663"/>
      <c r="AR474" s="663"/>
      <c r="AS474" s="663"/>
      <c r="AT474" s="663"/>
      <c r="AU474" s="1022"/>
      <c r="AV474" s="663"/>
      <c r="AW474" s="663"/>
      <c r="AX474" s="663"/>
      <c r="AY474" s="663"/>
      <c r="AZ474" s="1022"/>
      <c r="BA474" s="663"/>
      <c r="BB474" s="663"/>
      <c r="BC474" s="663"/>
      <c r="BD474" s="663"/>
      <c r="BE474" s="1022"/>
      <c r="BF474" s="663"/>
      <c r="BG474" s="663"/>
      <c r="BH474" s="759"/>
      <c r="BI474" s="663"/>
      <c r="BJ474" s="1022"/>
      <c r="BK474" s="663"/>
      <c r="BL474" s="663"/>
      <c r="BM474" s="663"/>
      <c r="BN474" s="663"/>
      <c r="BO474" s="1022"/>
      <c r="BP474" s="1022"/>
      <c r="BQ474" s="1022"/>
      <c r="BR474" s="1022"/>
      <c r="BS474" s="662"/>
    </row>
    <row r="475" spans="1:71" s="33" customFormat="1" ht="15">
      <c r="A475" s="342" t="s">
        <v>356</v>
      </c>
      <c r="B475" s="500"/>
      <c r="C475" s="1028"/>
      <c r="D475" s="1029">
        <f>D410/AVERAGE(C643,D643)*(D$3/D$3)</f>
        <v>0.029626050107798677</v>
      </c>
      <c r="E475" s="1029">
        <f>E410/AVERAGE(D643,E643)*(E$3/E$3)</f>
        <v>0.013451869610095561</v>
      </c>
      <c r="F475" s="1029">
        <f>F410/AVERAGE(E643,F643)*(F$3/F$3)</f>
        <v>0.023425754010490997</v>
      </c>
      <c r="G475" s="1029">
        <f>G410/AVERAGE(F643,G643)*(G$3/G$3)</f>
        <v>0.03493173652694611</v>
      </c>
      <c r="H475" s="121">
        <f>H410*(L$3/H$3)/AVERAGE(G643,H643)</f>
        <v>0.040761116400945971</v>
      </c>
      <c r="I475" s="121">
        <f>I410*(L$3/I$3)/AVERAGE(H643,I643)</f>
        <v>0.026030300313006287</v>
      </c>
      <c r="J475" s="121">
        <f>J410*(L$3/J$3)/AVERAGE(I643,J643)</f>
        <v>0.034569426412130122</v>
      </c>
      <c r="K475" s="121">
        <f>K410*(L$3/K$3)/AVERAGE(J643,K643)</f>
        <v>0.039368141073971685</v>
      </c>
      <c r="L475" s="1029">
        <f>L410/AVERAGE(G643,H643,I643,J643,K643)*(L$3/L$3)</f>
        <v>0.035216207334579919</v>
      </c>
      <c r="M475" s="121">
        <f>M410*(Q$3/M$3)/AVERAGE(L643,M643)</f>
        <v>0.032599122748756558</v>
      </c>
      <c r="N475" s="121">
        <f>N410*(Q$3/N$3)/AVERAGE(M643,N643)</f>
        <v>0.031639618730710209</v>
      </c>
      <c r="O475" s="121">
        <f>O410*(Q$3/O$3)/AVERAGE(N643,O643)</f>
        <v>0.035901879362516272</v>
      </c>
      <c r="P475" s="121">
        <f>P410*(Q$3/P$3)/AVERAGE(O643,P643)</f>
        <v>0.033693427688757771</v>
      </c>
      <c r="Q475" s="1029">
        <f>Q410/AVERAGE(L643,M643,N643,O643,P643)*(Q$3/Q$3)</f>
        <v>0.033488514440082634</v>
      </c>
      <c r="R475" s="121">
        <f>R410*(V$3/R$3)/AVERAGE(Q643,R643)</f>
        <v>0.027335997731907848</v>
      </c>
      <c r="S475" s="121">
        <f>S410*(V$3/S$3)/AVERAGE(R643,S643)</f>
        <v>0.025969092780767922</v>
      </c>
      <c r="T475" s="121">
        <f>T410*(V$3/T$3)/AVERAGE(S643,T643)</f>
        <v>0.027525448805906502</v>
      </c>
      <c r="U475" s="121">
        <f>U410*(V$3/U$3)/AVERAGE(T643,U643)</f>
        <v>0.036719634685986532</v>
      </c>
      <c r="V475" s="1029">
        <f>V410/AVERAGE(Q643,R643,S643,T643,U643)*(V$3/V$3)</f>
        <v>0.029487012705433416</v>
      </c>
      <c r="W475" s="121">
        <f>W410*(AA$3/W$3)/AVERAGE(V643,W643)</f>
        <v>0.024676591565435238</v>
      </c>
      <c r="X475" s="121">
        <f>X410*(AA$3/X$3)/AVERAGE(W643,X643)</f>
        <v>0.023210489826481783</v>
      </c>
      <c r="Y475" s="121">
        <f>Y410*(AA$3/Y$3)/AVERAGE(X643,Y643)</f>
        <v>0.011155772244325225</v>
      </c>
      <c r="Z475" s="121">
        <f>Z410*(AA$3/Z$3)/AVERAGE(Y643,Z643)</f>
        <v>0.020887639137590699</v>
      </c>
      <c r="AA475" s="1029">
        <f>AA410/AVERAGE(V643,W643,X643,Y643,Z643)*(AA$3/AA$3)</f>
        <v>0.019933431519238057</v>
      </c>
      <c r="AB475" s="121">
        <f>AB410*(AF$3/AB$3)/AVERAGE(AA643,AB643)</f>
        <v>0.025998280440520456</v>
      </c>
      <c r="AC475" s="121">
        <f>AC410*(AF$3/AC$3)/AVERAGE(AB643,AC643)</f>
        <v>0.020132474439686347</v>
      </c>
      <c r="AD475" s="121">
        <f>AD410*(AF$3/AD$3)/AVERAGE(AC643,AD643)</f>
        <v>0.026867425108202656</v>
      </c>
      <c r="AE475" s="121">
        <f>AE410*(AF$3/AE$3)/AVERAGE(AD643,AE643)</f>
        <v>0.02342898955032054</v>
      </c>
      <c r="AF475" s="1029">
        <f>AF410/AVERAGE(AA643,AB643,AC643,AD643,AE643)*(AF$3/AF$3)</f>
        <v>0.024109145877663416</v>
      </c>
      <c r="AG475" s="121">
        <f>AG410*(AK$3/AG$3)/AVERAGE(AF643,AG643)</f>
        <v>0.030338184353476651</v>
      </c>
      <c r="AH475" s="121">
        <f>AH410*(AK$3/AH$3)/AVERAGE(AG643,AH643)</f>
        <v>0.020555068836491143</v>
      </c>
      <c r="AI475" s="121">
        <f>AI410*(AK$3/AI$3)/AVERAGE(AH643,AI643)</f>
        <v>0.014251299352494556</v>
      </c>
      <c r="AJ475" s="121">
        <f>AJ410*(AK$3/AJ$3)/AVERAGE(AI643,AJ643)</f>
        <v>0.031182738205281446</v>
      </c>
      <c r="AK475" s="1029">
        <f>AK410/AVERAGE(AF643,AG643,AH643,AI643,AJ643)*(AK$3/AK$3)</f>
        <v>0.024083387921112333</v>
      </c>
      <c r="AL475" s="121">
        <f>AL410*(AP$3/AL$3)/AVERAGE(AK643,AL643)</f>
        <v>0.021799041010365578</v>
      </c>
      <c r="AM475" s="121">
        <f>AM410*(AP$3/AM$3)/AVERAGE(AL643,AM643)</f>
        <v>-0.0014804406180380827</v>
      </c>
      <c r="AN475" s="121">
        <f>AN410*(AP$3/AN$3)/AVERAGE(AM643,AN643)</f>
        <v>0.028435817133941114</v>
      </c>
      <c r="AO475" s="121">
        <f>AO410*(AP$3/AO$3)/AVERAGE(AN643,AO643)</f>
        <v>0.04446681003520063</v>
      </c>
      <c r="AP475" s="1029">
        <f>AP410/AVERAGE(AK643,AL643,AM643,AN643,AO643)*(AP$3/AP$3)</f>
        <v>0.023655446671012624</v>
      </c>
      <c r="AQ475" s="121">
        <f>AQ410*(AU$3/AQ$3)/AVERAGE(AP643,AQ643)</f>
        <v>0.025256586463792745</v>
      </c>
      <c r="AR475" s="121">
        <f>AR410*(AU$3/AR$3)/AVERAGE(AQ643,AR643)</f>
        <v>0.03140479843563998</v>
      </c>
      <c r="AS475" s="121">
        <f>AS410*(AU$3/AS$3)/AVERAGE(AR643,AS643)</f>
        <v>0.021679463430906966</v>
      </c>
      <c r="AT475" s="121">
        <f>AT410*(AU$3/AT$3)/AVERAGE(AS643,AT643)</f>
        <v>0.04352792774992266</v>
      </c>
      <c r="AU475" s="1029">
        <f>AU410/AVERAGE(AP643,AQ643,AR643,AS643,AT643)*(AU$3/AU$3)</f>
        <v>0.030560240244683696</v>
      </c>
      <c r="AV475" s="121">
        <f>AV410*(AZ$3/AV$3)/AVERAGE(AU643,AV643)</f>
        <v>0.034302693628045632</v>
      </c>
      <c r="AW475" s="121">
        <f>AW410*(AZ$3/AW$3)/AVERAGE(AV643,AW643)</f>
        <v>0.01865822194167837</v>
      </c>
      <c r="AX475" s="121">
        <f>AX410*(AZ$3/AX$3)/AVERAGE(AW643,AX643)</f>
        <v>0.015463795230541885</v>
      </c>
      <c r="AY475" s="121">
        <f>AY410*(AZ$3/AY$3)/AVERAGE(AX643,AY643)</f>
        <v>0.028078079951130097</v>
      </c>
      <c r="AZ475" s="1029">
        <f>AZ410/AVERAGE(AU643,AV643,AW643,AX643,AY643)*(AZ$3/AZ$3)</f>
        <v>0.024091695280179074</v>
      </c>
      <c r="BA475" s="121">
        <f>BA410*(BE$3/BA$3)/AVERAGE(AZ643,BA643)</f>
        <v>0.033543765110098114</v>
      </c>
      <c r="BB475" s="121">
        <f>BB410*(BE$3/BB$3)/AVERAGE(BA643,BB643)</f>
        <v>-0.00050362946669318964</v>
      </c>
      <c r="BC475" s="121">
        <f>BC410*(BE$3/BC$3)/AVERAGE(BB643,BC643)</f>
        <v>0.013150468166190508</v>
      </c>
      <c r="BD475" s="121">
        <f>BD410*(BE$3/BD$3)/AVERAGE(BC643,BD643)</f>
        <v>0.051773268046162231</v>
      </c>
      <c r="BE475" s="1029">
        <f>BE410/AVERAGE(AZ643,BA643,BB643,BC643,BD643)*(BE$3/BE$3)</f>
        <v>0.024659304589338276</v>
      </c>
      <c r="BF475" s="121">
        <f>BF410*(BJ$3/BF$3)/AVERAGE(BE643,BF643)</f>
        <v>0.035396352585801177</v>
      </c>
      <c r="BG475" s="121">
        <f>BG410*(BJ$3/BG$3)/AVERAGE(BF643,BG643)</f>
        <v>0.016575139730266811</v>
      </c>
      <c r="BH475" s="762">
        <f>BH410*(BJ$3/BH$3)/AVERAGE(BG643,BH643)</f>
        <v>0.037686771934813339</v>
      </c>
      <c r="BI475" s="650">
        <f ca="1">BI410*(BJ$3/BI$3)/AVERAGE(BH643,BI643)</f>
        <v>0.042261575087278715</v>
      </c>
      <c r="BJ475" s="1028">
        <f ca="1">BJ410/AVERAGE(BE643,BF643,BG643,BH643,BI643)*(BJ$3/BJ$3)</f>
        <v>0.033139746812137237</v>
      </c>
      <c r="BK475" s="650">
        <f ca="1">BK410*(BO$3/BK$3)/AVERAGE(BJ643,BK643)</f>
        <v>0.03799324652529238</v>
      </c>
      <c r="BL475" s="650">
        <f ca="1">BL410*(BO$3/BL$3)/AVERAGE(BK643,BL643)</f>
        <v>0.025044854960611533</v>
      </c>
      <c r="BM475" s="650">
        <f ca="1">BM410*(BO$3/BM$3)/AVERAGE(BL643,BM643)</f>
        <v>0.029803248504996601</v>
      </c>
      <c r="BN475" s="650">
        <f ca="1">BN410*(BO$3/BN$3)/AVERAGE(BM643,BN643)</f>
        <v>0.041460583171724685</v>
      </c>
      <c r="BO475" s="1028">
        <f ca="1">BO410/AVERAGE(BJ643,BK643,BL643,BM643,BN643)*(BO$3/BO$3)</f>
        <v>0.033609841378452958</v>
      </c>
      <c r="BP475" s="1028">
        <f ca="1">BP410/AVERAGE(BO643,BP643)*(BP3/BP3)</f>
        <v>0.034498746564889063</v>
      </c>
      <c r="BQ475" s="1028">
        <f ca="1">BQ410/AVERAGE(BP643,BQ643)*(BQ3/BQ3)</f>
        <v>0.034613014384974786</v>
      </c>
      <c r="BR475" s="1028">
        <f ca="1">BR410/AVERAGE(BQ643,BR643)*(BR3/BR3)</f>
        <v>0.029555981131271211</v>
      </c>
      <c r="BS475" s="121"/>
    </row>
    <row r="476" spans="1:71" s="33" customFormat="1" ht="15">
      <c r="A476" s="342" t="s">
        <v>357</v>
      </c>
      <c r="B476" s="500"/>
      <c r="C476" s="1028"/>
      <c r="D476" s="1029">
        <f>D410/AVERAGE(C462,D462)*(D$3/D$3)</f>
        <v>0.12088807993477807</v>
      </c>
      <c r="E476" s="1029">
        <f>E410/AVERAGE(D462,E462)*(E$3/E$3)</f>
        <v>0.056691524336460589</v>
      </c>
      <c r="F476" s="1029">
        <f>F410/AVERAGE(E462,F462)*(F$3/F$3)</f>
        <v>0.098392205605228336</v>
      </c>
      <c r="G476" s="1029">
        <f>G410/AVERAGE(F462,G462)*(G$3/G$3)</f>
        <v>0.14525607059620327</v>
      </c>
      <c r="H476" s="121">
        <f>(H410*(L$3/H$3))/AVERAGE(G462,H462)</f>
        <v>0.16890403345975952</v>
      </c>
      <c r="I476" s="121">
        <f>(I410*(L$3/I$3))/AVERAGE(H462,I462)</f>
        <v>0.10681476656849306</v>
      </c>
      <c r="J476" s="121">
        <f>(J410*(L$3/J$3))/AVERAGE(I462,J462)</f>
        <v>0.14230274986982941</v>
      </c>
      <c r="K476" s="121">
        <f>(K410*(L$3/K$3))/AVERAGE(J462,K462)</f>
        <v>0.16294487483215747</v>
      </c>
      <c r="L476" s="1029">
        <f>L410/AVERAGE(G462,H462,I462,J462,K462)*(L$3/L$3)</f>
        <v>0.14558440320325408</v>
      </c>
      <c r="M476" s="121">
        <f>(M410*(Q$3/M$3))/AVERAGE(L462,M462)</f>
        <v>0.13501376504818324</v>
      </c>
      <c r="N476" s="121">
        <f>(N410*(Q$3/N$3))/AVERAGE(M462,N462)</f>
        <v>0.13203958270123928</v>
      </c>
      <c r="O476" s="121">
        <f>(O410*(Q$3/O$3))/AVERAGE(N462,O462)</f>
        <v>0.15192651836228332</v>
      </c>
      <c r="P476" s="121">
        <f>(P410*(Q$3/P$3))/AVERAGE(O462,P462)</f>
        <v>0.14309962547226732</v>
      </c>
      <c r="Q476" s="1029">
        <f>Q410/AVERAGE(L462,M462,N462,O462,P462)*(Q$3/Q$3)</f>
        <v>0.14056902869848067</v>
      </c>
      <c r="R476" s="121">
        <f>(R410*(V$3/R$3))/AVERAGE(Q462,R462)</f>
        <v>0.1155295587922671</v>
      </c>
      <c r="S476" s="121">
        <f>(S410*(V$3/S$3))/AVERAGE(R462,S462)</f>
        <v>0.10844858905415369</v>
      </c>
      <c r="T476" s="121">
        <f>(T410*(V$3/T$3))/AVERAGE(S462,T462)</f>
        <v>0.11492951467423369</v>
      </c>
      <c r="U476" s="121">
        <f>(U410*(V$3/U$3))/AVERAGE(T462,U462)</f>
        <v>0.15642595194219927</v>
      </c>
      <c r="V476" s="1029">
        <f>V410/AVERAGE(Q462,R462,S462,T462,U462)*(V$3/V$3)</f>
        <v>0.12452346468228205</v>
      </c>
      <c r="W476" s="121">
        <f>(W410*(AA$3/W$3))/AVERAGE(V462,W462)</f>
        <v>0.10616682918265137</v>
      </c>
      <c r="X476" s="121">
        <f>(X410*(AA$3/X$3))/AVERAGE(W462,X462)</f>
        <v>0.099704382409248629</v>
      </c>
      <c r="Y476" s="121">
        <f>(Y410*(AA$3/Y$3))/AVERAGE(X462,Y462)</f>
        <v>0.048512936783142176</v>
      </c>
      <c r="Z476" s="121">
        <f>(Z410*(AA$3/Z$3))/AVERAGE(Y462,Z462)</f>
        <v>0.091434959383103115</v>
      </c>
      <c r="AA476" s="1029">
        <f>AA410/AVERAGE(V462,W462,X462,Y462,Z462)*(AA$3/AA$3)</f>
        <v>0.086365944482058227</v>
      </c>
      <c r="AB476" s="121">
        <f>(AB410*(AF$3/AB$3))/AVERAGE(AA462,AB462)</f>
        <v>0.11530245724208472</v>
      </c>
      <c r="AC476" s="121">
        <f>(AC410*(AF$3/AC$3))/AVERAGE(AB462,AC462)</f>
        <v>0.091474684694280328</v>
      </c>
      <c r="AD476" s="121">
        <f>(AD410*(AF$3/AD$3))/AVERAGE(AC462,AD462)</f>
        <v>0.12390672662692676</v>
      </c>
      <c r="AE476" s="121">
        <f>(AE410*(AF$3/AE$3))/AVERAGE(AD462,AE462)</f>
        <v>0.1077705623970658</v>
      </c>
      <c r="AF476" s="1029">
        <f>AF410/AVERAGE(AA462,AB462,AC462,AD462,AE462)*(AF$3/AF$3)</f>
        <v>0.10916668846512681</v>
      </c>
      <c r="AG476" s="121">
        <f>(AG410*(AK$3/AG$3))/AVERAGE(AF462,AG462)</f>
        <v>0.13583200425305689</v>
      </c>
      <c r="AH476" s="121">
        <f>(AH410*(AK$3/AH$3))/AVERAGE(AG462,AH462)</f>
        <v>0.08932872568320907</v>
      </c>
      <c r="AI476" s="121">
        <f>(AI410*(AK$3/AI$3))/AVERAGE(AH462,AI462)</f>
        <v>0.061230944965782901</v>
      </c>
      <c r="AJ476" s="121">
        <f>(AJ410*(AK$3/AJ$3))/AVERAGE(AI462,AJ462)</f>
        <v>0.13329819086576983</v>
      </c>
      <c r="AK476" s="1029">
        <f>AK410/AVERAGE(AF462,AG462,AH462,AI462,AJ462)*(AK$3/AK$3)</f>
        <v>0.10487087546835341</v>
      </c>
      <c r="AL476" s="121">
        <f>(AL410*(AP$3/AL$3))/AVERAGE(AK462,AL462)</f>
        <v>0.093576433537721576</v>
      </c>
      <c r="AM476" s="121">
        <f>(AM410*(AP$3/AM$3))/AVERAGE(AL462,AM462)</f>
        <v>-0.0063244711642510172</v>
      </c>
      <c r="AN476" s="121">
        <f>(AN410*(AP$3/AN$3))/AVERAGE(AM462,AN462)</f>
        <v>0.11922003846959568</v>
      </c>
      <c r="AO476" s="121">
        <f>(AO410*(AP$3/AO$3))/AVERAGE(AN462,AO462)</f>
        <v>0.18172388827496855</v>
      </c>
      <c r="AP476" s="1029">
        <f>AP410/AVERAGE(AK462,AL462,AM462,AN462,AO462)*(AP$3/AP$3)</f>
        <v>0.099082433032410835</v>
      </c>
      <c r="AQ476" s="121">
        <f>(AQ410*(AU$3/AQ$3))/AVERAGE(AP462,AQ462)</f>
        <v>0.10274732710786304</v>
      </c>
      <c r="AR476" s="121">
        <f>(AR410*(AU$3/AR$3))/AVERAGE(AQ462,AR462)</f>
        <v>0.12949714630167394</v>
      </c>
      <c r="AS476" s="121">
        <f>(AS410*(AU$3/AS$3))/AVERAGE(AR462,AS462)</f>
        <v>0.09045900006789942</v>
      </c>
      <c r="AT476" s="121">
        <f>(AT410*(AU$3/AT$3))/AVERAGE(AS462,AT462)</f>
        <v>0.1830114082966536</v>
      </c>
      <c r="AU476" s="1029">
        <f>AU410/AVERAGE(AP462,AQ462,AR462,AS462,AT462)*(AU$3/AU$3)</f>
        <v>0.12622667324133427</v>
      </c>
      <c r="AV476" s="121">
        <f>(AV410*(AZ$3/AV$3))/AVERAGE(AU462,AV462)</f>
        <v>0.15069156039055703</v>
      </c>
      <c r="AW476" s="121">
        <f>(AW410*(AZ$3/AW$3))/AVERAGE(AV462,AW462)</f>
        <v>0.090652246214688106</v>
      </c>
      <c r="AX476" s="121">
        <f>(AX410*(AZ$3/AX$3))/AVERAGE(AW462,AX462)</f>
        <v>0.083465455210683576</v>
      </c>
      <c r="AY476" s="121">
        <f>(AY410*(AZ$3/AY$3))/AVERAGE(AX462,AY462)</f>
        <v>0.15576407281817056</v>
      </c>
      <c r="AZ476" s="1029">
        <f>AZ410/AVERAGE(AU462,AV462,AW462,AX462,AY462)*(AZ$3/AZ$3)</f>
        <v>0.11881304838410887</v>
      </c>
      <c r="BA476" s="121">
        <f>(BA410*(BE$3/BA$3))/AVERAGE(AZ462,BA462)</f>
        <v>0.17599649322055846</v>
      </c>
      <c r="BB476" s="121">
        <f>(BB410*(BE$3/BB$3))/AVERAGE(BA462,BB462)</f>
        <v>-0.0026795303700908619</v>
      </c>
      <c r="BC476" s="121">
        <f>(BC410*(BE$3/BC$3))/AVERAGE(BB462,BC462)</f>
        <v>0.076060713457962767</v>
      </c>
      <c r="BD476" s="121">
        <f>(BD410*(BE$3/BD$3))/AVERAGE(BC462,BD462)</f>
        <v>0.2852343956532391</v>
      </c>
      <c r="BE476" s="1029">
        <f>BE410/AVERAGE(AZ462,BA462,BB462,BC462,BD462)*(BE$3/BE$3)</f>
        <v>0.13329921160856995</v>
      </c>
      <c r="BF476" s="121">
        <f>(BF410*(BJ$3/BF$3))/AVERAGE(BE462,BF462)</f>
        <v>0.17958494661936586</v>
      </c>
      <c r="BG476" s="121">
        <f>(BG410*(BJ$3/BG$3))/AVERAGE(BF462,BG462)</f>
        <v>0.085302957807167568</v>
      </c>
      <c r="BH476" s="762">
        <f>(BH410*(BJ$3/BH$3))/AVERAGE(BG462,BH462)</f>
        <v>0.18923193755304699</v>
      </c>
      <c r="BI476" s="650">
        <f ca="1">(BI410*(BJ$3/BI$3))/AVERAGE(BH462,BI462)</f>
        <v>0.20274743642752047</v>
      </c>
      <c r="BJ476" s="1028">
        <f ca="1">BJ410/AVERAGE(BE462,BF462,BG462,BH462,BI462)*(BJ$3/BJ$3)</f>
        <v>0.164995776316156</v>
      </c>
      <c r="BK476" s="650">
        <f ca="1">(BK410*(BO$3/BK$3))/AVERAGE(BJ462,BK462)</f>
        <v>0.1783699784875081</v>
      </c>
      <c r="BL476" s="650">
        <f ca="1">(BL410*(BO$3/BL$3))/AVERAGE(BK462,BL462)</f>
        <v>0.11613220266819252</v>
      </c>
      <c r="BM476" s="650">
        <f ca="1">(BM410*(BO$3/BM$3))/AVERAGE(BL462,BM462)</f>
        <v>0.13693158782490042</v>
      </c>
      <c r="BN476" s="650">
        <f ca="1">(BN410*(BO$3/BN$3))/AVERAGE(BM462,BN462)</f>
        <v>0.18723890514045921</v>
      </c>
      <c r="BO476" s="1028">
        <f ca="1">BO410/AVERAGE(BJ462,BK462,BL462,BM462,BN462)*(BO$3/BO$3)</f>
        <v>0.15478924425760759</v>
      </c>
      <c r="BP476" s="1028">
        <f ca="1">BP410/AVERAGE(BO462,BP462)*(BP3/BP3)</f>
        <v>0.14975533473192532</v>
      </c>
      <c r="BQ476" s="1028">
        <f ca="1">BQ410/AVERAGE(BP462,BQ462)*(BQ3/BQ3)</f>
        <v>0.14256456440874721</v>
      </c>
      <c r="BR476" s="1028">
        <f ca="1">BR410/AVERAGE(BQ462,BR462)*(BR3/BR3)</f>
        <v>0.11678058517898385</v>
      </c>
      <c r="BS476" s="121"/>
    </row>
    <row r="477" spans="1:71" s="82" customFormat="1" ht="15">
      <c r="A477" s="375" t="str">
        <f>CONCATENATE("Consensus Estimates - ",IFERROR(LEFT(A476,FIND("(",A476)-1),A476))</f>
        <v>Consensus Estimates - Return on Average Common Equity, %</v>
      </c>
      <c r="B477" s="116"/>
      <c r="C477" s="1087"/>
      <c r="D477" s="1087"/>
      <c r="E477" s="1087"/>
      <c r="F477" s="1087"/>
      <c r="G477" s="1087"/>
      <c r="H477" s="125"/>
      <c r="I477" s="125"/>
      <c r="J477" s="125"/>
      <c r="K477" s="125"/>
      <c r="L477" s="1087"/>
      <c r="M477" s="125"/>
      <c r="N477" s="125"/>
      <c r="O477" s="125"/>
      <c r="P477" s="125"/>
      <c r="Q477" s="1087"/>
      <c r="R477" s="125"/>
      <c r="S477" s="125"/>
      <c r="T477" s="125"/>
      <c r="U477" s="125"/>
      <c r="V477" s="1087"/>
      <c r="W477" s="125"/>
      <c r="X477" s="125"/>
      <c r="Y477" s="125"/>
      <c r="Z477" s="125"/>
      <c r="AA477" s="1088"/>
      <c r="AB477" s="125"/>
      <c r="AC477" s="125"/>
      <c r="AD477" s="125"/>
      <c r="AE477" s="125"/>
      <c r="AF477" s="1088"/>
      <c r="AG477" s="125"/>
      <c r="AH477" s="125"/>
      <c r="AI477" s="125"/>
      <c r="AJ477" s="125"/>
      <c r="AK477" s="1088"/>
      <c r="AL477" s="125"/>
      <c r="AM477" s="125"/>
      <c r="AN477" s="125"/>
      <c r="AO477" s="125"/>
      <c r="AP477" s="1088"/>
      <c r="AQ477" s="125"/>
      <c r="AR477" s="125"/>
      <c r="AS477" s="125"/>
      <c r="AT477" s="125"/>
      <c r="AU477" s="1088"/>
      <c r="AV477" s="125"/>
      <c r="AW477" s="125"/>
      <c r="AX477" s="125"/>
      <c r="AY477" s="125"/>
      <c r="AZ477" s="1088"/>
      <c r="BA477" s="125"/>
      <c r="BB477" s="125"/>
      <c r="BC477" s="125"/>
      <c r="BD477" s="125"/>
      <c r="BE477" s="1088"/>
      <c r="BF477" s="125"/>
      <c r="BG477" s="125"/>
      <c r="BH477" s="776"/>
      <c r="BI477" s="808" t="str">
        <f ca="1" t="shared" si="980" ref="BI477:BO477">IFERROR(VLOOKUP($A477,tb_ConsensusEstimate,MATCH(BI$5,OFFSET(tb_ConsensusEstimate,0,0,1,COLUMNS(tb_ConsensusEstimate)),0),FALSE),"-")</f>
        <v>N/A</v>
      </c>
      <c r="BJ477" s="1088" t="str">
        <f t="shared" ca="1" si="980"/>
        <v>N/A</v>
      </c>
      <c r="BK477" s="808" t="str">
        <f t="shared" ca="1" si="980"/>
        <v>N/A</v>
      </c>
      <c r="BL477" s="808" t="str">
        <f t="shared" ca="1" si="980"/>
        <v>N/A</v>
      </c>
      <c r="BM477" s="808" t="str">
        <f t="shared" ca="1" si="980"/>
        <v>N/A</v>
      </c>
      <c r="BN477" s="808" t="str">
        <f t="shared" ca="1" si="980"/>
        <v>N/A</v>
      </c>
      <c r="BO477" s="1088" t="str">
        <f t="shared" ca="1" si="980"/>
        <v>N/A</v>
      </c>
      <c r="BP477" s="1088" t="str">
        <f ca="1">IFERROR(VLOOKUP($A477,tb_ConsensusEstimate,MATCH(BP5,OFFSET(tb_ConsensusEstimate,0,0,1,COLUMNS(tb_ConsensusEstimate)),0),FALSE),"-")</f>
        <v>N/A</v>
      </c>
      <c r="BQ477" s="1088" t="str">
        <f ca="1">IFERROR(VLOOKUP($A477,tb_ConsensusEstimate,MATCH(BQ5,OFFSET(tb_ConsensusEstimate,0,0,1,COLUMNS(tb_ConsensusEstimate)),0),FALSE),"-")</f>
        <v>N/A</v>
      </c>
      <c r="BR477" s="1088" t="str">
        <f ca="1">IFERROR(VLOOKUP($A477,tb_ConsensusEstimate,MATCH(BR5,OFFSET(tb_ConsensusEstimate,0,0,1,COLUMNS(tb_ConsensusEstimate)),0),FALSE),"-")</f>
        <v>N/A</v>
      </c>
      <c r="BS477" s="125"/>
    </row>
    <row r="478" spans="1:71" s="33" customFormat="1" ht="15">
      <c r="A478" s="342" t="s">
        <v>358</v>
      </c>
      <c r="B478" s="500"/>
      <c r="C478" s="1028"/>
      <c r="D478" s="1029">
        <f>D410/AVERAGE(C464,D464)*(D$3/D$3)</f>
        <v>0.13006139975113723</v>
      </c>
      <c r="E478" s="1029">
        <f>E410/AVERAGE(D464,E464)*(E$3/E$3)</f>
        <v>0.062630110289232405</v>
      </c>
      <c r="F478" s="1029">
        <f>F410/AVERAGE(E464,F464)*(F$3/F$3)</f>
        <v>0.1117791746378792</v>
      </c>
      <c r="G478" s="1029">
        <f>G410/AVERAGE(F464,G464)*(G$3/G$3)</f>
        <v>0.15929744844459978</v>
      </c>
      <c r="H478" s="121">
        <f>(H410*(L$3/H$3))/AVERAGE(G464,H464)</f>
        <v>0.17962809907625218</v>
      </c>
      <c r="I478" s="121">
        <f>(I410*(L$3/I$3))/AVERAGE(H464,I464)</f>
        <v>0.11515288573215401</v>
      </c>
      <c r="J478" s="121">
        <f>(J410*(L$3/J$3))/AVERAGE(I464,J464)</f>
        <v>0.15421134848762807</v>
      </c>
      <c r="K478" s="121">
        <f>(K410*(L$3/K$3))/AVERAGE(J464,K464)</f>
        <v>0.17660665313128598</v>
      </c>
      <c r="L478" s="1029">
        <f>L410/AVERAGE(G464,H464,I464,J464,K464)*(L$3/L$3)</f>
        <v>0.15664669225443015</v>
      </c>
      <c r="M478" s="121">
        <f>(M410*(Q$3/M$3))/AVERAGE(L464,M464)</f>
        <v>0.1469706818187351</v>
      </c>
      <c r="N478" s="121">
        <f>(N410*(Q$3/N$3))/AVERAGE(M464,N464)</f>
        <v>0.1420536577404492</v>
      </c>
      <c r="O478" s="121">
        <f>(O410*(Q$3/O$3))/AVERAGE(N464,O464)</f>
        <v>0.16127038103380192</v>
      </c>
      <c r="P478" s="121">
        <f>(P410*(Q$3/P$3))/AVERAGE(O464,P464)</f>
        <v>0.15170891784342871</v>
      </c>
      <c r="Q478" s="1029">
        <f>Q410/AVERAGE(L464,M464,N464,O464,P464)*(Q$3/Q$3)</f>
        <v>0.15064334504121291</v>
      </c>
      <c r="R478" s="121">
        <f>(R410*(V$3/R$3))/AVERAGE(Q464,R464)</f>
        <v>0.12340446028611338</v>
      </c>
      <c r="S478" s="121">
        <f>(S410*(V$3/S$3))/AVERAGE(R464,S464)</f>
        <v>0.1183780043092236</v>
      </c>
      <c r="T478" s="121">
        <f>(T410*(V$3/T$3))/AVERAGE(S464,T464)</f>
        <v>0.12620088990422021</v>
      </c>
      <c r="U478" s="121">
        <f>(U410*(V$3/U$3))/AVERAGE(T464,U464)</f>
        <v>0.16611173702825732</v>
      </c>
      <c r="V478" s="1029">
        <f>V410/AVERAGE(Q464,R464,S464,T464,U464)*(V$3/V$3)</f>
        <v>0.13360721621863</v>
      </c>
      <c r="W478" s="121">
        <f>(W410*(AA$3/W$3))/AVERAGE(V464,W464)</f>
        <v>0.10980810757754221</v>
      </c>
      <c r="X478" s="121">
        <f>(X410*(AA$3/X$3))/AVERAGE(W464,X464)</f>
        <v>0.1037658298905339</v>
      </c>
      <c r="Y478" s="121">
        <f>(Y410*(AA$3/Y$3))/AVERAGE(X464,Y464)</f>
        <v>0.050686461181658107</v>
      </c>
      <c r="Z478" s="121">
        <f>(Z410*(AA$3/Z$3))/AVERAGE(Y464,Z464)</f>
        <v>0.09570519033663033</v>
      </c>
      <c r="AA478" s="1029">
        <f>AA410/AVERAGE(V464,W464,X464,Y464,Z464)*(AA$3/AA$3)</f>
        <v>0.089948349110652775</v>
      </c>
      <c r="AB478" s="121">
        <f>(AB410*(AF$3/AB$3))/AVERAGE(AA464,AB464)</f>
        <v>0.11845986534208243</v>
      </c>
      <c r="AC478" s="121">
        <f>(AC410*(AF$3/AC$3))/AVERAGE(AB464,AC464)</f>
        <v>0.091516828753835405</v>
      </c>
      <c r="AD478" s="121">
        <f>(AD410*(AF$3/AD$3))/AVERAGE(AC464,AD464)</f>
        <v>0.12238918006489065</v>
      </c>
      <c r="AE478" s="121">
        <f>(AE410*(AF$3/AE$3))/AVERAGE(AD464,AE464)</f>
        <v>0.1064561154975938</v>
      </c>
      <c r="AF478" s="1029">
        <f>AF410/AVERAGE(AA464,AB464,AC464,AD464,AE464)*(AF$3/AF$3)</f>
        <v>0.10971484655695182</v>
      </c>
      <c r="AG478" s="121">
        <f>(AG410*(AK$3/AG$3))/AVERAGE(AF464,AG464)</f>
        <v>0.13845250083920779</v>
      </c>
      <c r="AH478" s="121">
        <f>(AH410*(AK$3/AH$3))/AVERAGE(AG464,AH464)</f>
        <v>0.094838247095815065</v>
      </c>
      <c r="AI478" s="121">
        <f>(AI410*(AK$3/AI$3))/AVERAGE(AH464,AI464)</f>
        <v>0.066780228825111171</v>
      </c>
      <c r="AJ478" s="121">
        <f>(AJ410*(AK$3/AJ$3))/AVERAGE(AI464,AJ464)</f>
        <v>0.14635829050331065</v>
      </c>
      <c r="AK478" s="1029">
        <f>AK410/AVERAGE(AF464,AG464,AH464,AI464,AJ464)*(AK$3/AK$3)</f>
        <v>0.11149375069603283</v>
      </c>
      <c r="AL478" s="121">
        <f>(AL410*(AP$3/AL$3))/AVERAGE(AK464,AL464)</f>
        <v>0.10158234667955357</v>
      </c>
      <c r="AM478" s="121">
        <f>(AM410*(AP$3/AM$3))/AVERAGE(AL464,AM464)</f>
        <v>-0.0070597268131303579</v>
      </c>
      <c r="AN478" s="121">
        <f>(AN410*(AP$3/AN$3))/AVERAGE(AM464,AN464)</f>
        <v>0.13800448615849256</v>
      </c>
      <c r="AO478" s="121">
        <f>(AO410*(AP$3/AO$3))/AVERAGE(AN464,AO464)</f>
        <v>0.21087274888306395</v>
      </c>
      <c r="AP478" s="1029">
        <f>AP410/AVERAGE(AK464,AL464,AM464,AN464,AO464)*(AP$3/AP$3)</f>
        <v>0.11197805598066517</v>
      </c>
      <c r="AQ478" s="121">
        <f>(AQ410*(AU$3/AQ$3))/AVERAGE(AP464,AQ464)</f>
        <v>0.11674586071074732</v>
      </c>
      <c r="AR478" s="121">
        <f>(AR410*(AU$3/AR$3))/AVERAGE(AQ464,AR464)</f>
        <v>0.14476383862589551</v>
      </c>
      <c r="AS478" s="121">
        <f>(AS410*(AU$3/AS$3))/AVERAGE(AR464,AS464)</f>
        <v>0.10085027033028407</v>
      </c>
      <c r="AT478" s="121">
        <f>(AT410*(AU$3/AT$3))/AVERAGE(AS464,AT464)</f>
        <v>0.20092478785967324</v>
      </c>
      <c r="AU478" s="1029">
        <f>AU410/AVERAGE(AP464,AQ464,AR464,AS464,AT464)*(AU$3/AU$3)</f>
        <v>0.14117272395392372</v>
      </c>
      <c r="AV478" s="121">
        <f>(AV410*(AZ$3/AV$3))/AVERAGE(AU464,AV464)</f>
        <v>0.15358155098575368</v>
      </c>
      <c r="AW478" s="121">
        <f>(AW410*(AZ$3/AW$3))/AVERAGE(AV464,AW464)</f>
        <v>0.081884414011009515</v>
      </c>
      <c r="AX478" s="121">
        <f>(AX410*(AZ$3/AX$3))/AVERAGE(AW464,AX464)</f>
        <v>0.067512189187034041</v>
      </c>
      <c r="AY478" s="121">
        <f>(AY410*(AZ$3/AY$3))/AVERAGE(AX464,AY464)</f>
        <v>0.1226042224611959</v>
      </c>
      <c r="AZ478" s="1029">
        <f>AZ410/AVERAGE(AU464,AV464,AW464,AX464,AY464)*(AZ$3/AZ$3)</f>
        <v>0.10629722542394587</v>
      </c>
      <c r="BA478" s="121">
        <f>(BA410*(BE$3/BA$3))/AVERAGE(AZ464,BA464)</f>
        <v>0.14709347588061664</v>
      </c>
      <c r="BB478" s="121">
        <f>(BB410*(BE$3/BB$3))/AVERAGE(BA464,BB464)</f>
        <v>-0.0022554342061005478</v>
      </c>
      <c r="BC478" s="121">
        <f>(BC410*(BE$3/BC$3))/AVERAGE(BB464,BC464)</f>
        <v>0.060176791037105562</v>
      </c>
      <c r="BD478" s="121">
        <f>(BD410*(BE$3/BD$3))/AVERAGE(BC464,BD464)</f>
        <v>0.2350119119615881</v>
      </c>
      <c r="BE478" s="1029">
        <f>BE410/AVERAGE(AZ464,BA464,BB464,BC464,BD464)*(BE$3/BE$3)</f>
        <v>0.11053364407347566</v>
      </c>
      <c r="BF478" s="121">
        <f>(BF410*(BJ$3/BF$3))/AVERAGE(BE464,BF464)</f>
        <v>0.15792458558292374</v>
      </c>
      <c r="BG478" s="121">
        <f>(BG410*(BJ$3/BG$3))/AVERAGE(BF464,BG464)</f>
        <v>0.073900292583538793</v>
      </c>
      <c r="BH478" s="762">
        <f>(BH410*(BJ$3/BH$3))/AVERAGE(BG464,BH464)</f>
        <v>0.16959079501940563</v>
      </c>
      <c r="BI478" s="650">
        <f ca="1">(BI410*(BJ$3/BI$3))/AVERAGE(BH464,BI464)</f>
        <v>0.18867428175408013</v>
      </c>
      <c r="BJ478" s="1028">
        <f ca="1">BJ410/AVERAGE(BE464,BF464,BG464,BH464,BI464)*(BJ$3/BJ$3)</f>
        <v>0.14804285947081117</v>
      </c>
      <c r="BK478" s="650">
        <f ca="1">(BK410*(BO$3/BK$3))/AVERAGE(BJ464,BK464)</f>
        <v>0.16643519267417956</v>
      </c>
      <c r="BL478" s="650">
        <f ca="1">(BL410*(BO$3/BL$3))/AVERAGE(BK464,BL464)</f>
        <v>0.10856668941851252</v>
      </c>
      <c r="BM478" s="650">
        <f ca="1">(BM410*(BO$3/BM$3))/AVERAGE(BL464,BM464)</f>
        <v>0.12821098351512239</v>
      </c>
      <c r="BN478" s="650">
        <f ca="1">(BN410*(BO$3/BN$3))/AVERAGE(BM464,BN464)</f>
        <v>0.17568451019866632</v>
      </c>
      <c r="BO478" s="1028">
        <f ca="1">BO410/AVERAGE(BJ464,BK464,BL464,BM464,BN464)*(BO$3/BO$3)</f>
        <v>0.14484185015237627</v>
      </c>
      <c r="BP478" s="1028">
        <f ca="1">BP410/AVERAGE(BO464,BP464)*(BP3/BP3)</f>
        <v>0.14121123393658858</v>
      </c>
      <c r="BQ478" s="1028">
        <f ca="1">BQ410/AVERAGE(BP464,BQ464)*(BQ3/BQ3)</f>
        <v>0.13531171897418981</v>
      </c>
      <c r="BR478" s="1028">
        <f ca="1">BR410/AVERAGE(BQ464,BR464)*(BR3/BR3)</f>
        <v>0.11141384171997337</v>
      </c>
      <c r="BS478" s="121"/>
    </row>
    <row r="479" spans="1:71" s="33" customFormat="1" ht="15">
      <c r="A479" s="342" t="s">
        <v>359</v>
      </c>
      <c r="B479" s="500"/>
      <c r="C479" s="1028"/>
      <c r="D479" s="1029">
        <f>D410/AVERAGE(C468,D468)*(D$3/D$3)</f>
        <v>0.15429663867579799</v>
      </c>
      <c r="E479" s="1029">
        <f>E410/AVERAGE(D468,E468)*(E$3/E$3)</f>
        <v>0.075228772079165784</v>
      </c>
      <c r="F479" s="1029">
        <f>F410/AVERAGE(E468,F468)*(F$3/F$3)</f>
        <v>0.13461327482172245</v>
      </c>
      <c r="G479" s="1029">
        <f>G410/AVERAGE(F468,G468)*(G$3/G$3)</f>
        <v>0.19115526777990405</v>
      </c>
      <c r="H479" s="121">
        <f>(H410*(L$3/H$3))/AVERAGE(G468,H468)</f>
        <v>0.21541950113378686</v>
      </c>
      <c r="I479" s="121">
        <f>(I410*(L$3/I$3))/AVERAGE(H468,I468)</f>
        <v>0.13798363901111446</v>
      </c>
      <c r="J479" s="121">
        <f>(J410*(L$3/J$3))/AVERAGE(I468,J468)</f>
        <v>0.18489286234013222</v>
      </c>
      <c r="K479" s="121">
        <f>(K410*(L$3/K$3))/AVERAGE(J468,K468)</f>
        <v>0.2120773824365291</v>
      </c>
      <c r="L479" s="1029">
        <f>L410/AVERAGE(G468,H468,I468,J468,K468)*(L$3/L$3)</f>
        <v>0.18795450116413837</v>
      </c>
      <c r="M479" s="121">
        <f>(M410*(Q$3/M$3))/AVERAGE(L468,M468)</f>
        <v>0.17672336825589188</v>
      </c>
      <c r="N479" s="121">
        <f>(N410*(Q$3/N$3))/AVERAGE(M468,N468)</f>
        <v>0.17073446753932625</v>
      </c>
      <c r="O479" s="121">
        <f>(O410*(Q$3/O$3))/AVERAGE(N468,O468)</f>
        <v>0.19383894772978091</v>
      </c>
      <c r="P479" s="121">
        <f>(P410*(Q$3/P$3))/AVERAGE(O468,P468)</f>
        <v>0.18256269615292794</v>
      </c>
      <c r="Q479" s="1029">
        <f>Q410/AVERAGE(L468,M468,N468,O468,P468)*(Q$3/Q$3)</f>
        <v>0.18117941750870339</v>
      </c>
      <c r="R479" s="121">
        <f>(R410*(V$3/R$3))/AVERAGE(Q468,R468)</f>
        <v>0.14865315713891991</v>
      </c>
      <c r="S479" s="121">
        <f>(S410*(V$3/S$3))/AVERAGE(R468,S468)</f>
        <v>0.1425872725870036</v>
      </c>
      <c r="T479" s="121">
        <f>(T410*(V$3/T$3))/AVERAGE(S468,T468)</f>
        <v>0.15198499918702707</v>
      </c>
      <c r="U479" s="121">
        <f>(U410*(V$3/U$3))/AVERAGE(T468,U468)</f>
        <v>0.19985687128555926</v>
      </c>
      <c r="V479" s="1029">
        <f>V410/AVERAGE(Q468,R468,S468,T468,U468)*(V$3/V$3)</f>
        <v>0.16086540426035248</v>
      </c>
      <c r="W479" s="121">
        <f>(W410*(AA$3/W$3))/AVERAGE(V468,W468)</f>
        <v>0.13184427002309904</v>
      </c>
      <c r="X479" s="121">
        <f>(X410*(AA$3/X$3))/AVERAGE(W468,X468)</f>
        <v>0.12441752406527254</v>
      </c>
      <c r="Y479" s="121">
        <f>(Y410*(AA$3/Y$3))/AVERAGE(X468,Y468)</f>
        <v>0.061503389157244626</v>
      </c>
      <c r="Z479" s="121">
        <f>(Z410*(AA$3/Z$3))/AVERAGE(Y468,Z468)</f>
        <v>0.11769737470392173</v>
      </c>
      <c r="AA479" s="1029">
        <f>AA410/AVERAGE(V468,W468,X468,Y468,Z468)*(AA$3/AA$3)</f>
        <v>0.10899866488651536</v>
      </c>
      <c r="AB479" s="121">
        <f>(AB410*(AF$3/AB$3))/AVERAGE(AA468,AB468)</f>
        <v>0.14569544386132602</v>
      </c>
      <c r="AC479" s="121">
        <f>(AC410*(AF$3/AC$3))/AVERAGE(AB468,AC468)</f>
        <v>0.11247684017118051</v>
      </c>
      <c r="AD479" s="121">
        <f>(AD410*(AF$3/AD$3))/AVERAGE(AC468,AD468)</f>
        <v>0.1504345718504225</v>
      </c>
      <c r="AE479" s="121">
        <f>(AE410*(AF$3/AE$3))/AVERAGE(AD468,AE468)</f>
        <v>0.13065210999322452</v>
      </c>
      <c r="AF479" s="1029">
        <f>AF410/AVERAGE(AA468,AB468,AC468,AD468,AE468)*(AF$3/AF$3)</f>
        <v>0.13481500624542361</v>
      </c>
      <c r="AG479" s="121">
        <f>(AG410*(AK$3/AG$3))/AVERAGE(AF468,AG468)</f>
        <v>0.1694679967481679</v>
      </c>
      <c r="AH479" s="121">
        <f>(AH410*(AK$3/AH$3))/AVERAGE(AG468,AH468)</f>
        <v>0.11582344706806208</v>
      </c>
      <c r="AI479" s="121">
        <f>(AI410*(AK$3/AI$3))/AVERAGE(AH468,AI468)</f>
        <v>0.081526001705029841</v>
      </c>
      <c r="AJ479" s="121">
        <f>(AJ410*(AK$3/AJ$3))/AVERAGE(AI468,AJ468)</f>
        <v>0.17849962954931511</v>
      </c>
      <c r="AK479" s="1029">
        <f>AK410/AVERAGE(AF468,AG468,AH468,AI468,AJ468)*(AK$3/AK$3)</f>
        <v>0.13618860264110666</v>
      </c>
      <c r="AL479" s="121">
        <f>(AL410*(AP$3/AL$3))/AVERAGE(AK468,AL468)</f>
        <v>0.12371798185787741</v>
      </c>
      <c r="AM479" s="121">
        <f>(AM410*(AP$3/AM$3))/AVERAGE(AL468,AM468)</f>
        <v>-0.0086040593201898666</v>
      </c>
      <c r="AN479" s="121">
        <f>(AN410*(AP$3/AN$3))/AVERAGE(AM468,AN468)</f>
        <v>0.16779184577396128</v>
      </c>
      <c r="AO479" s="121">
        <f>(AO410*(AP$3/AO$3))/AVERAGE(AN468,AO468)</f>
        <v>0.2545883754748528</v>
      </c>
      <c r="AP479" s="1029">
        <f>AP410/AVERAGE(AK468,AL468,AM468,AN468,AO468)*(AP$3/AP$3)</f>
        <v>0.13592528677291646</v>
      </c>
      <c r="AQ479" s="121">
        <f>(AQ410*(AU$3/AQ$3))/AVERAGE(AP468,AQ468)</f>
        <v>0.1403486532666767</v>
      </c>
      <c r="AR479" s="121">
        <f>(AR410*(AU$3/AR$3))/AVERAGE(AQ468,AR468)</f>
        <v>0.17364156415200174</v>
      </c>
      <c r="AS479" s="121">
        <f>(AS410*(AU$3/AS$3))/AVERAGE(AR468,AS468)</f>
        <v>0.12075867903435358</v>
      </c>
      <c r="AT479" s="121">
        <f>(AT410*(AU$3/AT$3))/AVERAGE(AS468,AT468)</f>
        <v>0.2399587956318997</v>
      </c>
      <c r="AU479" s="1029">
        <f>AU410/AVERAGE(AP468,AQ468,AR468,AS468,AT468)*(AU$3/AU$3)</f>
        <v>0.16912168386574483</v>
      </c>
      <c r="AV479" s="121">
        <f>(AV410*(AZ$3/AV$3))/AVERAGE(AU468,AV468)</f>
        <v>0.182602951218788</v>
      </c>
      <c r="AW479" s="121">
        <f>(AW410*(AZ$3/AW$3))/AVERAGE(AV468,AW468)</f>
        <v>0.097191946000309601</v>
      </c>
      <c r="AX479" s="121">
        <f>(AX410*(AZ$3/AX$3))/AVERAGE(AW468,AX468)</f>
        <v>0.080181715932656147</v>
      </c>
      <c r="AY479" s="121">
        <f>(AY410*(AZ$3/AY$3))/AVERAGE(AX468,AY468)</f>
        <v>0.14564486985541888</v>
      </c>
      <c r="AZ479" s="1029">
        <f>AZ410/AVERAGE(AU468,AV468,AW468,AX468,AY468)*(AZ$3/AZ$3)</f>
        <v>0.1262990180721274</v>
      </c>
      <c r="BA479" s="121">
        <f>(BA410*(BE$3/BA$3))/AVERAGE(AZ468,BA468)</f>
        <v>0.17440924864622051</v>
      </c>
      <c r="BB479" s="121">
        <f>(BB410*(BE$3/BB$3))/AVERAGE(BA468,BB468)</f>
        <v>-0.0026752411198486033</v>
      </c>
      <c r="BC479" s="121">
        <f>(BC410*(BE$3/BC$3))/AVERAGE(BB468,BC468)</f>
        <v>0.071478104595910516</v>
      </c>
      <c r="BD479" s="121">
        <f>(BD410*(BE$3/BD$3))/AVERAGE(BC468,BD468)</f>
        <v>0.2775566010800542</v>
      </c>
      <c r="BE479" s="1029">
        <f>BE410/AVERAGE(AZ468,BA468,BB468,BC468,BD468)*(BE$3/BE$3)</f>
        <v>0.13090944364588752</v>
      </c>
      <c r="BF479" s="121">
        <f>(BF410*(BJ$3/BF$3))/AVERAGE(BE468,BF468)</f>
        <v>0.18659394156096676</v>
      </c>
      <c r="BG479" s="121">
        <f>(BG410*(BJ$3/BG$3))/AVERAGE(BF468,BG468)</f>
        <v>0.087729934587925676</v>
      </c>
      <c r="BH479" s="762">
        <f>(BH410*(BJ$3/BH$3))/AVERAGE(BG468,BH468)</f>
        <v>0.20067901884408887</v>
      </c>
      <c r="BI479" s="650">
        <f ca="1">(BI410*(BJ$3/BI$3))/AVERAGE(BH468,BI468)</f>
        <v>0.22186782184418621</v>
      </c>
      <c r="BJ479" s="1028">
        <f ca="1">BJ410/AVERAGE(BE468,BF468,BG468,BH468,BI468)*(BJ$3/BJ$3)</f>
        <v>0.17471908573302747</v>
      </c>
      <c r="BK479" s="650">
        <f ca="1">(BK410*(BO$3/BK$3))/AVERAGE(BJ468,BK468)</f>
        <v>0.19448290661245848</v>
      </c>
      <c r="BL479" s="650">
        <f ca="1">(BL410*(BO$3/BL$3))/AVERAGE(BK468,BL468)</f>
        <v>0.12630106533574928</v>
      </c>
      <c r="BM479" s="650">
        <f ca="1">(BM410*(BO$3/BM$3))/AVERAGE(BL468,BM468)</f>
        <v>0.14861026708291261</v>
      </c>
      <c r="BN479" s="650">
        <f ca="1">(BN410*(BO$3/BN$3))/AVERAGE(BM468,BN468)</f>
        <v>0.20263658020092304</v>
      </c>
      <c r="BO479" s="1028">
        <f ca="1">BO410/AVERAGE(BJ468,BK468,BL468,BM468,BN468)*(BO$3/BO$3)</f>
        <v>0.16813012039006023</v>
      </c>
      <c r="BP479" s="1028">
        <f ca="1">BP410/AVERAGE(BO468,BP468)*(BP3/BP3)</f>
        <v>0.16101114100594621</v>
      </c>
      <c r="BQ479" s="1028">
        <f ca="1">BQ410/AVERAGE(BP468,BQ468)*(BQ3/BQ3)</f>
        <v>0.15197636300488448</v>
      </c>
      <c r="BR479" s="1028">
        <f ca="1">BR410/AVERAGE(BQ468,BR468)*(BR3/BR3)</f>
        <v>0.12366290243326718</v>
      </c>
      <c r="BS479" s="121"/>
    </row>
    <row r="480" spans="1:71" ht="15">
      <c r="A480" s="501"/>
      <c r="B480" s="501"/>
      <c r="C480" s="1089"/>
      <c r="D480" s="1089"/>
      <c r="E480" s="1089"/>
      <c r="F480" s="1089"/>
      <c r="G480" s="1089"/>
      <c r="H480" s="432"/>
      <c r="I480" s="432"/>
      <c r="J480" s="432"/>
      <c r="K480" s="432"/>
      <c r="L480" s="1089"/>
      <c r="M480" s="432"/>
      <c r="N480" s="432"/>
      <c r="O480" s="432"/>
      <c r="P480" s="432"/>
      <c r="Q480" s="1089"/>
      <c r="R480" s="432"/>
      <c r="S480" s="432"/>
      <c r="T480" s="432"/>
      <c r="U480" s="432"/>
      <c r="V480" s="1089"/>
      <c r="W480" s="432"/>
      <c r="X480" s="432"/>
      <c r="Y480" s="432"/>
      <c r="Z480" s="432"/>
      <c r="AA480" s="1089"/>
      <c r="AB480" s="432"/>
      <c r="AC480" s="432"/>
      <c r="AD480" s="432"/>
      <c r="AE480" s="432"/>
      <c r="AF480" s="1089"/>
      <c r="AG480" s="432"/>
      <c r="AH480" s="432"/>
      <c r="AI480" s="432"/>
      <c r="AJ480" s="432"/>
      <c r="AK480" s="1089"/>
      <c r="AL480" s="432"/>
      <c r="AM480" s="432"/>
      <c r="AN480" s="432"/>
      <c r="AO480" s="432"/>
      <c r="AP480" s="1089"/>
      <c r="AQ480" s="432"/>
      <c r="AR480" s="432"/>
      <c r="AS480" s="432"/>
      <c r="AT480" s="432"/>
      <c r="AU480" s="1089"/>
      <c r="AV480" s="432"/>
      <c r="AW480" s="432"/>
      <c r="AX480" s="432"/>
      <c r="AY480" s="432"/>
      <c r="AZ480" s="1089"/>
      <c r="BA480" s="432"/>
      <c r="BB480" s="432"/>
      <c r="BC480" s="432"/>
      <c r="BD480" s="432"/>
      <c r="BE480" s="1089"/>
      <c r="BF480" s="432"/>
      <c r="BG480" s="432"/>
      <c r="BH480" s="552"/>
      <c r="BI480" s="432"/>
      <c r="BJ480" s="1089"/>
      <c r="BK480" s="432"/>
      <c r="BL480" s="432"/>
      <c r="BM480" s="432"/>
      <c r="BN480" s="432"/>
      <c r="BO480" s="1089"/>
      <c r="BP480" s="1089"/>
      <c r="BQ480" s="1089"/>
      <c r="BR480" s="1089"/>
      <c r="BS480" s="262"/>
    </row>
    <row r="481" spans="1:71" s="181" customFormat="1" ht="15">
      <c r="A481" s="397" t="s">
        <v>516</v>
      </c>
      <c r="B481" s="826"/>
      <c r="C481" s="847"/>
      <c r="D481" s="847"/>
      <c r="E481" s="847"/>
      <c r="F481" s="847"/>
      <c r="G481" s="847"/>
      <c r="H481" s="847"/>
      <c r="I481" s="847"/>
      <c r="J481" s="847"/>
      <c r="K481" s="847"/>
      <c r="L481" s="847"/>
      <c r="M481" s="847"/>
      <c r="N481" s="847"/>
      <c r="O481" s="847"/>
      <c r="P481" s="847"/>
      <c r="Q481" s="847"/>
      <c r="R481" s="847"/>
      <c r="S481" s="847"/>
      <c r="T481" s="847"/>
      <c r="U481" s="847"/>
      <c r="V481" s="847"/>
      <c r="W481" s="847"/>
      <c r="X481" s="847"/>
      <c r="Y481" s="847"/>
      <c r="Z481" s="847"/>
      <c r="AA481" s="847"/>
      <c r="AB481" s="847"/>
      <c r="AC481" s="847"/>
      <c r="AD481" s="847"/>
      <c r="AE481" s="847"/>
      <c r="AF481" s="847"/>
      <c r="AG481" s="847"/>
      <c r="AH481" s="847"/>
      <c r="AI481" s="847"/>
      <c r="AJ481" s="847"/>
      <c r="AK481" s="847"/>
      <c r="AL481" s="847"/>
      <c r="AM481" s="847"/>
      <c r="AN481" s="847"/>
      <c r="AO481" s="847"/>
      <c r="AP481" s="847"/>
      <c r="AQ481" s="847"/>
      <c r="AR481" s="847"/>
      <c r="AS481" s="847"/>
      <c r="AT481" s="847"/>
      <c r="AU481" s="847"/>
      <c r="AV481" s="847"/>
      <c r="AW481" s="847"/>
      <c r="AX481" s="847"/>
      <c r="AY481" s="847"/>
      <c r="AZ481" s="847"/>
      <c r="BA481" s="847"/>
      <c r="BB481" s="847"/>
      <c r="BC481" s="847"/>
      <c r="BD481" s="847"/>
      <c r="BE481" s="847"/>
      <c r="BF481" s="847"/>
      <c r="BG481" s="847"/>
      <c r="BH481" s="848"/>
      <c r="BI481" s="847"/>
      <c r="BJ481" s="847"/>
      <c r="BK481" s="847"/>
      <c r="BL481" s="847"/>
      <c r="BM481" s="847"/>
      <c r="BN481" s="847"/>
      <c r="BO481" s="847"/>
      <c r="BP481" s="847"/>
      <c r="BQ481" s="847"/>
      <c r="BR481" s="847"/>
      <c r="BS481" s="423"/>
    </row>
    <row r="482" spans="1:71" s="261" customFormat="1" ht="15">
      <c r="A482" s="398" t="s">
        <v>517</v>
      </c>
      <c r="B482" s="485"/>
      <c r="C482" s="994"/>
      <c r="D482" s="994"/>
      <c r="E482" s="994"/>
      <c r="F482" s="994"/>
      <c r="G482" s="994"/>
      <c r="H482" s="210"/>
      <c r="I482" s="210"/>
      <c r="J482" s="210"/>
      <c r="K482" s="210"/>
      <c r="L482" s="994"/>
      <c r="M482" s="210"/>
      <c r="N482" s="210"/>
      <c r="O482" s="210"/>
      <c r="P482" s="210"/>
      <c r="Q482" s="994"/>
      <c r="R482" s="210"/>
      <c r="S482" s="210"/>
      <c r="T482" s="210"/>
      <c r="U482" s="210"/>
      <c r="V482" s="994"/>
      <c r="W482" s="210"/>
      <c r="X482" s="210"/>
      <c r="Y482" s="210"/>
      <c r="Z482" s="210"/>
      <c r="AA482" s="994"/>
      <c r="AB482" s="210"/>
      <c r="AC482" s="210"/>
      <c r="AD482" s="210"/>
      <c r="AE482" s="210"/>
      <c r="AF482" s="994"/>
      <c r="AG482" s="210"/>
      <c r="AH482" s="210"/>
      <c r="AI482" s="210"/>
      <c r="AJ482" s="210"/>
      <c r="AK482" s="994"/>
      <c r="AL482" s="210"/>
      <c r="AM482" s="210"/>
      <c r="AN482" s="210"/>
      <c r="AO482" s="210"/>
      <c r="AP482" s="994"/>
      <c r="AQ482" s="210"/>
      <c r="AR482" s="210"/>
      <c r="AS482" s="210"/>
      <c r="AT482" s="210"/>
      <c r="AU482" s="994"/>
      <c r="AV482" s="210"/>
      <c r="AW482" s="210"/>
      <c r="AX482" s="210"/>
      <c r="AY482" s="210"/>
      <c r="AZ482" s="994"/>
      <c r="BA482" s="210"/>
      <c r="BB482" s="210"/>
      <c r="BC482" s="210"/>
      <c r="BD482" s="210"/>
      <c r="BE482" s="994"/>
      <c r="BF482" s="210"/>
      <c r="BG482" s="210"/>
      <c r="BH482" s="553"/>
      <c r="BI482" s="210"/>
      <c r="BJ482" s="994"/>
      <c r="BK482" s="210"/>
      <c r="BL482" s="210"/>
      <c r="BM482" s="210"/>
      <c r="BN482" s="210"/>
      <c r="BO482" s="994"/>
      <c r="BP482" s="994"/>
      <c r="BQ482" s="994"/>
      <c r="BR482" s="994"/>
      <c r="BS482" s="265"/>
    </row>
    <row r="483" spans="1:71" s="261" customFormat="1" ht="15">
      <c r="A483" s="399" t="s">
        <v>518</v>
      </c>
      <c r="B483" s="465"/>
      <c r="C483" s="995">
        <f t="shared" si="981" ref="C483:AM483">C651</f>
        <v>6527</v>
      </c>
      <c r="D483" s="995">
        <f t="shared" si="981"/>
        <v>6611</v>
      </c>
      <c r="E483" s="995">
        <f t="shared" si="981"/>
        <v>6605</v>
      </c>
      <c r="F483" s="995">
        <f t="shared" si="981"/>
        <v>6350</v>
      </c>
      <c r="G483" s="995">
        <f t="shared" si="981"/>
        <v>6346</v>
      </c>
      <c r="H483" s="186">
        <f t="shared" si="981"/>
        <v>6347</v>
      </c>
      <c r="I483" s="186">
        <f t="shared" si="981"/>
        <v>6347</v>
      </c>
      <c r="J483" s="186">
        <f t="shared" si="981"/>
        <v>6348</v>
      </c>
      <c r="K483" s="186">
        <f t="shared" si="981"/>
        <v>6349</v>
      </c>
      <c r="L483" s="995">
        <f t="shared" si="981"/>
        <v>6349</v>
      </c>
      <c r="M483" s="186">
        <f t="shared" si="981"/>
        <v>6349</v>
      </c>
      <c r="N483" s="186">
        <f t="shared" si="981"/>
        <v>6350</v>
      </c>
      <c r="O483" s="186">
        <f t="shared" si="981"/>
        <v>6743</v>
      </c>
      <c r="P483" s="186">
        <f t="shared" si="981"/>
        <v>6344</v>
      </c>
      <c r="Q483" s="995">
        <f t="shared" si="981"/>
        <v>6344</v>
      </c>
      <c r="R483" s="186">
        <f t="shared" si="981"/>
        <v>6344</v>
      </c>
      <c r="S483" s="186">
        <f t="shared" si="981"/>
        <v>6436</v>
      </c>
      <c r="T483" s="186">
        <f t="shared" si="981"/>
        <v>6436</v>
      </c>
      <c r="U483" s="186">
        <f t="shared" si="981"/>
        <v>6437</v>
      </c>
      <c r="V483" s="995">
        <f t="shared" si="981"/>
        <v>6437</v>
      </c>
      <c r="W483" s="186">
        <f t="shared" si="981"/>
        <v>6438</v>
      </c>
      <c r="X483" s="186">
        <f t="shared" si="981"/>
        <v>6920</v>
      </c>
      <c r="Y483" s="186">
        <f t="shared" si="981"/>
        <v>6921</v>
      </c>
      <c r="Z483" s="186">
        <f t="shared" si="981"/>
        <v>6571</v>
      </c>
      <c r="AA483" s="995">
        <f t="shared" si="981"/>
        <v>6571</v>
      </c>
      <c r="AB483" s="186">
        <f t="shared" si="981"/>
        <v>6963</v>
      </c>
      <c r="AC483" s="186">
        <f t="shared" si="981"/>
        <v>6464</v>
      </c>
      <c r="AD483" s="186">
        <f t="shared" si="981"/>
        <v>6564</v>
      </c>
      <c r="AE483" s="186">
        <f t="shared" si="981"/>
        <v>6564</v>
      </c>
      <c r="AF483" s="995">
        <f t="shared" si="981"/>
        <v>6564</v>
      </c>
      <c r="AG483" s="186">
        <f t="shared" si="981"/>
        <v>7057</v>
      </c>
      <c r="AH483" s="186">
        <f t="shared" si="981"/>
        <v>6558</v>
      </c>
      <c r="AI483" s="186">
        <f t="shared" si="981"/>
        <v>6558</v>
      </c>
      <c r="AJ483" s="186">
        <f t="shared" si="981"/>
        <v>6558</v>
      </c>
      <c r="AK483" s="995">
        <f t="shared" si="981"/>
        <v>6558</v>
      </c>
      <c r="AL483" s="186">
        <f t="shared" si="981"/>
        <v>6559</v>
      </c>
      <c r="AM483" s="186">
        <f t="shared" si="981"/>
        <v>7049</v>
      </c>
      <c r="AN483" s="186">
        <f>AN651</f>
        <v>7050</v>
      </c>
      <c r="AO483" s="186">
        <f t="shared" si="982" ref="AO483:AQ483">AO651</f>
        <v>6550</v>
      </c>
      <c r="AP483" s="995">
        <f t="shared" si="982"/>
        <v>6550</v>
      </c>
      <c r="AQ483" s="186">
        <f t="shared" si="982"/>
        <v>6550</v>
      </c>
      <c r="AR483" s="186">
        <f t="shared" si="983" ref="AR483:AW483">AR651</f>
        <v>7290</v>
      </c>
      <c r="AS483" s="186">
        <f t="shared" si="983"/>
        <v>7290</v>
      </c>
      <c r="AT483" s="186">
        <f t="shared" si="983"/>
        <v>7290</v>
      </c>
      <c r="AU483" s="995">
        <f t="shared" si="983"/>
        <v>7290</v>
      </c>
      <c r="AV483" s="186">
        <f t="shared" si="983"/>
        <v>7291</v>
      </c>
      <c r="AW483" s="186">
        <f t="shared" si="983"/>
        <v>7291</v>
      </c>
      <c r="AX483" s="186">
        <f t="shared" si="984" ref="AX483:BC483">AX651</f>
        <v>7291</v>
      </c>
      <c r="AY483" s="186">
        <f t="shared" si="984"/>
        <v>7292</v>
      </c>
      <c r="AZ483" s="995">
        <f t="shared" si="984"/>
        <v>7292</v>
      </c>
      <c r="BA483" s="186">
        <f t="shared" si="984"/>
        <v>7292</v>
      </c>
      <c r="BB483" s="186">
        <f t="shared" si="984"/>
        <v>8031</v>
      </c>
      <c r="BC483" s="186">
        <f t="shared" si="984"/>
        <v>8031</v>
      </c>
      <c r="BD483" s="186">
        <f>BD651</f>
        <v>8031</v>
      </c>
      <c r="BE483" s="995">
        <f>BE651</f>
        <v>8031</v>
      </c>
      <c r="BF483" s="186">
        <f>BF651</f>
        <v>8032</v>
      </c>
      <c r="BG483" s="186">
        <f>BG651</f>
        <v>8032</v>
      </c>
      <c r="BH483" s="746">
        <f>BH651</f>
        <v>8033</v>
      </c>
      <c r="BI483" s="205">
        <f>MAX(0,BH483+BI490)</f>
        <v>8033</v>
      </c>
      <c r="BJ483" s="996">
        <f>BI483</f>
        <v>8033</v>
      </c>
      <c r="BK483" s="205">
        <f>MAX(0,BJ483+BK490)</f>
        <v>8033</v>
      </c>
      <c r="BL483" s="205">
        <f>MAX(0,BK483+BL490)</f>
        <v>8033</v>
      </c>
      <c r="BM483" s="205">
        <f>MAX(0,BL483+BM490)</f>
        <v>8033</v>
      </c>
      <c r="BN483" s="205">
        <f>MAX(0,BM483+BN490)</f>
        <v>8033</v>
      </c>
      <c r="BO483" s="996">
        <f>BN483</f>
        <v>8033</v>
      </c>
      <c r="BP483" s="996">
        <f>MAX(0,BO483+BP490)</f>
        <v>8033</v>
      </c>
      <c r="BQ483" s="996">
        <f>MAX(0,BP483+BQ490)</f>
        <v>8033</v>
      </c>
      <c r="BR483" s="996">
        <f>MAX(0,BQ483+BR490)</f>
        <v>8033</v>
      </c>
      <c r="BS483" s="265"/>
    </row>
    <row r="484" spans="1:71" s="261" customFormat="1" ht="15">
      <c r="A484" s="400" t="s">
        <v>519</v>
      </c>
      <c r="B484" s="485"/>
      <c r="C484" s="993">
        <f t="shared" si="985" ref="C484:AM484">SUM(C482:C483)</f>
        <v>6527</v>
      </c>
      <c r="D484" s="993">
        <f t="shared" si="985"/>
        <v>6611</v>
      </c>
      <c r="E484" s="993">
        <f t="shared" si="985"/>
        <v>6605</v>
      </c>
      <c r="F484" s="993">
        <f t="shared" si="985"/>
        <v>6350</v>
      </c>
      <c r="G484" s="993">
        <f t="shared" si="985"/>
        <v>6346</v>
      </c>
      <c r="H484" s="265">
        <f t="shared" si="985"/>
        <v>6347</v>
      </c>
      <c r="I484" s="265">
        <f t="shared" si="985"/>
        <v>6347</v>
      </c>
      <c r="J484" s="265">
        <f t="shared" si="985"/>
        <v>6348</v>
      </c>
      <c r="K484" s="265">
        <f t="shared" si="985"/>
        <v>6349</v>
      </c>
      <c r="L484" s="993">
        <f t="shared" si="985"/>
        <v>6349</v>
      </c>
      <c r="M484" s="265">
        <f t="shared" si="985"/>
        <v>6349</v>
      </c>
      <c r="N484" s="265">
        <f t="shared" si="985"/>
        <v>6350</v>
      </c>
      <c r="O484" s="265">
        <f t="shared" si="985"/>
        <v>6743</v>
      </c>
      <c r="P484" s="265">
        <f t="shared" si="985"/>
        <v>6344</v>
      </c>
      <c r="Q484" s="993">
        <f t="shared" si="985"/>
        <v>6344</v>
      </c>
      <c r="R484" s="265">
        <f t="shared" si="985"/>
        <v>6344</v>
      </c>
      <c r="S484" s="265">
        <f t="shared" si="985"/>
        <v>6436</v>
      </c>
      <c r="T484" s="265">
        <f t="shared" si="985"/>
        <v>6436</v>
      </c>
      <c r="U484" s="265">
        <f t="shared" si="985"/>
        <v>6437</v>
      </c>
      <c r="V484" s="993">
        <f t="shared" si="985"/>
        <v>6437</v>
      </c>
      <c r="W484" s="265">
        <f t="shared" si="985"/>
        <v>6438</v>
      </c>
      <c r="X484" s="265">
        <f t="shared" si="985"/>
        <v>6920</v>
      </c>
      <c r="Y484" s="265">
        <f t="shared" si="985"/>
        <v>6921</v>
      </c>
      <c r="Z484" s="265">
        <f t="shared" si="985"/>
        <v>6571</v>
      </c>
      <c r="AA484" s="993">
        <f t="shared" si="985"/>
        <v>6571</v>
      </c>
      <c r="AB484" s="265">
        <f t="shared" si="985"/>
        <v>6963</v>
      </c>
      <c r="AC484" s="265">
        <f t="shared" si="985"/>
        <v>6464</v>
      </c>
      <c r="AD484" s="265">
        <f t="shared" si="985"/>
        <v>6564</v>
      </c>
      <c r="AE484" s="265">
        <f t="shared" si="985"/>
        <v>6564</v>
      </c>
      <c r="AF484" s="993">
        <f t="shared" si="985"/>
        <v>6564</v>
      </c>
      <c r="AG484" s="265">
        <f t="shared" si="985"/>
        <v>7057</v>
      </c>
      <c r="AH484" s="265">
        <f t="shared" si="985"/>
        <v>6558</v>
      </c>
      <c r="AI484" s="265">
        <f t="shared" si="985"/>
        <v>6558</v>
      </c>
      <c r="AJ484" s="265">
        <f t="shared" si="985"/>
        <v>6558</v>
      </c>
      <c r="AK484" s="993">
        <f t="shared" si="985"/>
        <v>6558</v>
      </c>
      <c r="AL484" s="265">
        <f t="shared" si="985"/>
        <v>6559</v>
      </c>
      <c r="AM484" s="265">
        <f t="shared" si="985"/>
        <v>7049</v>
      </c>
      <c r="AN484" s="265">
        <f>SUM(AN482:AN483)</f>
        <v>7050</v>
      </c>
      <c r="AO484" s="265">
        <f t="shared" si="986" ref="AO484:AP484">SUM(AO482:AO483)</f>
        <v>6550</v>
      </c>
      <c r="AP484" s="993">
        <f t="shared" si="986"/>
        <v>6550</v>
      </c>
      <c r="AQ484" s="265">
        <f t="shared" si="987" ref="AQ484">SUM(AQ482:AQ483)</f>
        <v>6550</v>
      </c>
      <c r="AR484" s="265">
        <f t="shared" si="988" ref="AR484:AW484">SUM(AR482:AR483)</f>
        <v>7290</v>
      </c>
      <c r="AS484" s="265">
        <f t="shared" si="988"/>
        <v>7290</v>
      </c>
      <c r="AT484" s="265">
        <f t="shared" si="988"/>
        <v>7290</v>
      </c>
      <c r="AU484" s="993">
        <f t="shared" si="988"/>
        <v>7290</v>
      </c>
      <c r="AV484" s="265">
        <f t="shared" si="988"/>
        <v>7291</v>
      </c>
      <c r="AW484" s="265">
        <f t="shared" si="988"/>
        <v>7291</v>
      </c>
      <c r="AX484" s="265">
        <f t="shared" si="989" ref="AX484:BC484">SUM(AX482:AX483)</f>
        <v>7291</v>
      </c>
      <c r="AY484" s="265">
        <f t="shared" si="989"/>
        <v>7292</v>
      </c>
      <c r="AZ484" s="993">
        <f t="shared" si="989"/>
        <v>7292</v>
      </c>
      <c r="BA484" s="265">
        <f t="shared" si="989"/>
        <v>7292</v>
      </c>
      <c r="BB484" s="265">
        <f t="shared" si="989"/>
        <v>8031</v>
      </c>
      <c r="BC484" s="265">
        <f t="shared" si="989"/>
        <v>8031</v>
      </c>
      <c r="BD484" s="265">
        <f>SUM(BD482:BD483)</f>
        <v>8031</v>
      </c>
      <c r="BE484" s="993">
        <f>SUM(BE482:BE483)</f>
        <v>8031</v>
      </c>
      <c r="BF484" s="265">
        <f>SUM(BF482:BF483)</f>
        <v>8032</v>
      </c>
      <c r="BG484" s="265">
        <f>SUM(BG482:BG483)</f>
        <v>8032</v>
      </c>
      <c r="BH484" s="745">
        <f>SUM(BH482:BH483)</f>
        <v>8033</v>
      </c>
      <c r="BI484" s="210">
        <f>BH484+BI490</f>
        <v>8033</v>
      </c>
      <c r="BJ484" s="994">
        <f>BI484</f>
        <v>8033</v>
      </c>
      <c r="BK484" s="210">
        <f>BJ484+BK490</f>
        <v>8033</v>
      </c>
      <c r="BL484" s="210">
        <f>BK484+BL490</f>
        <v>8033</v>
      </c>
      <c r="BM484" s="210">
        <f>BL484+BM490</f>
        <v>8033</v>
      </c>
      <c r="BN484" s="210">
        <f>BM484+BN490</f>
        <v>8033</v>
      </c>
      <c r="BO484" s="994">
        <f>BN484</f>
        <v>8033</v>
      </c>
      <c r="BP484" s="994">
        <f>BO484+BP490</f>
        <v>8033</v>
      </c>
      <c r="BQ484" s="994">
        <f>BP484+BQ490</f>
        <v>8033</v>
      </c>
      <c r="BR484" s="994">
        <f>BQ484+BR490</f>
        <v>8033</v>
      </c>
      <c r="BS484" s="265"/>
    </row>
    <row r="485" spans="1:71" s="261" customFormat="1" ht="15">
      <c r="A485" s="401" t="s">
        <v>520</v>
      </c>
      <c r="B485" s="465"/>
      <c r="C485" s="995">
        <f t="shared" si="990" ref="C485:AP485">C661</f>
        <v>27415</v>
      </c>
      <c r="D485" s="995">
        <f t="shared" si="990"/>
        <v>25475</v>
      </c>
      <c r="E485" s="995">
        <f t="shared" si="990"/>
        <v>24477</v>
      </c>
      <c r="F485" s="995">
        <f t="shared" si="990"/>
        <v>25405</v>
      </c>
      <c r="G485" s="995">
        <f t="shared" si="990"/>
        <v>24796</v>
      </c>
      <c r="H485" s="186">
        <f t="shared" si="990"/>
        <v>25387</v>
      </c>
      <c r="I485" s="186">
        <f t="shared" si="990"/>
        <v>25532</v>
      </c>
      <c r="J485" s="186">
        <f t="shared" si="990"/>
        <v>25321</v>
      </c>
      <c r="K485" s="186">
        <f t="shared" si="990"/>
        <v>24836</v>
      </c>
      <c r="L485" s="995">
        <f t="shared" si="990"/>
        <v>24836</v>
      </c>
      <c r="M485" s="186">
        <f t="shared" si="990"/>
        <v>24847</v>
      </c>
      <c r="N485" s="186">
        <f t="shared" si="990"/>
        <v>24121</v>
      </c>
      <c r="O485" s="186">
        <f t="shared" si="990"/>
        <v>24033</v>
      </c>
      <c r="P485" s="186">
        <f t="shared" si="990"/>
        <v>23598</v>
      </c>
      <c r="Q485" s="995">
        <f t="shared" si="990"/>
        <v>23598</v>
      </c>
      <c r="R485" s="186">
        <f t="shared" si="990"/>
        <v>24166</v>
      </c>
      <c r="S485" s="186">
        <f t="shared" si="990"/>
        <v>24714</v>
      </c>
      <c r="T485" s="186">
        <f t="shared" si="990"/>
        <v>24439</v>
      </c>
      <c r="U485" s="186">
        <f t="shared" si="990"/>
        <v>23221</v>
      </c>
      <c r="V485" s="995">
        <f t="shared" si="990"/>
        <v>23221</v>
      </c>
      <c r="W485" s="186">
        <f t="shared" si="990"/>
        <v>23612</v>
      </c>
      <c r="X485" s="186">
        <f t="shared" si="990"/>
        <v>23858</v>
      </c>
      <c r="Y485" s="186">
        <f t="shared" si="990"/>
        <v>23738</v>
      </c>
      <c r="Z485" s="186">
        <f t="shared" si="990"/>
        <v>23731</v>
      </c>
      <c r="AA485" s="995">
        <f t="shared" si="990"/>
        <v>23731</v>
      </c>
      <c r="AB485" s="186">
        <f t="shared" si="990"/>
        <v>22979</v>
      </c>
      <c r="AC485" s="186">
        <f t="shared" si="990"/>
        <v>22623</v>
      </c>
      <c r="AD485" s="186">
        <f t="shared" si="990"/>
        <v>22460</v>
      </c>
      <c r="AE485" s="186">
        <f t="shared" si="990"/>
        <v>22894</v>
      </c>
      <c r="AF485" s="995">
        <f t="shared" si="990"/>
        <v>22894</v>
      </c>
      <c r="AG485" s="186">
        <f t="shared" si="990"/>
        <v>24340</v>
      </c>
      <c r="AH485" s="186">
        <f t="shared" si="990"/>
        <v>25321</v>
      </c>
      <c r="AI485" s="186">
        <f t="shared" si="990"/>
        <v>25607</v>
      </c>
      <c r="AJ485" s="186">
        <f t="shared" si="990"/>
        <v>25943</v>
      </c>
      <c r="AK485" s="995">
        <f t="shared" si="990"/>
        <v>25943</v>
      </c>
      <c r="AL485" s="186">
        <f t="shared" si="990"/>
        <v>25204</v>
      </c>
      <c r="AM485" s="186">
        <f t="shared" si="990"/>
        <v>26943</v>
      </c>
      <c r="AN485" s="186">
        <f>AN661</f>
        <v>27849</v>
      </c>
      <c r="AO485" s="186">
        <f t="shared" si="990"/>
        <v>29201</v>
      </c>
      <c r="AP485" s="995">
        <f t="shared" si="990"/>
        <v>29201</v>
      </c>
      <c r="AQ485" s="186">
        <f t="shared" si="991" ref="AQ485">AQ661</f>
        <v>28269</v>
      </c>
      <c r="AR485" s="186">
        <f t="shared" si="992" ref="AR485:AW485">AR661</f>
        <v>29156</v>
      </c>
      <c r="AS485" s="186">
        <f t="shared" si="992"/>
        <v>28474</v>
      </c>
      <c r="AT485" s="186">
        <f t="shared" si="992"/>
        <v>28887</v>
      </c>
      <c r="AU485" s="995">
        <f t="shared" si="992"/>
        <v>28887</v>
      </c>
      <c r="AV485" s="186">
        <f t="shared" si="992"/>
        <v>25531</v>
      </c>
      <c r="AW485" s="186">
        <f t="shared" si="992"/>
        <v>22874</v>
      </c>
      <c r="AX485" s="186">
        <f t="shared" si="993" ref="AX485:BJ485">AX661</f>
        <v>19906</v>
      </c>
      <c r="AY485" s="186">
        <f t="shared" si="993"/>
        <v>21560</v>
      </c>
      <c r="AZ485" s="995">
        <f t="shared" si="993"/>
        <v>21560</v>
      </c>
      <c r="BA485" s="186">
        <f t="shared" si="994" ref="BA485:BI485">BA661</f>
        <v>23052</v>
      </c>
      <c r="BB485" s="186">
        <f t="shared" si="994"/>
        <v>21855</v>
      </c>
      <c r="BC485" s="186">
        <f t="shared" si="994"/>
        <v>19978</v>
      </c>
      <c r="BD485" s="186">
        <f t="shared" si="994"/>
        <v>24921</v>
      </c>
      <c r="BE485" s="995">
        <f t="shared" si="994"/>
        <v>24921</v>
      </c>
      <c r="BF485" s="186">
        <f>BF661</f>
        <v>25022</v>
      </c>
      <c r="BG485" s="186">
        <f>BG661</f>
        <v>24862</v>
      </c>
      <c r="BH485" s="746">
        <f>BH661</f>
        <v>27696</v>
      </c>
      <c r="BI485" s="205">
        <f t="shared" ca="1" si="994"/>
        <v>28907.003097030072</v>
      </c>
      <c r="BJ485" s="996">
        <f t="shared" ca="1" si="993"/>
        <v>28907.003097030072</v>
      </c>
      <c r="BK485" s="205">
        <f ca="1" t="shared" si="995" ref="BK485:BR485">BK661</f>
        <v>29970.415774252484</v>
      </c>
      <c r="BL485" s="205">
        <f t="shared" ca="1" si="995"/>
        <v>30616.16276942371</v>
      </c>
      <c r="BM485" s="205">
        <f t="shared" ca="1" si="995"/>
        <v>31456.000256469299</v>
      </c>
      <c r="BN485" s="205">
        <f t="shared" ca="1" si="995"/>
        <v>32739.486032116343</v>
      </c>
      <c r="BO485" s="996">
        <f t="shared" ca="1" si="995"/>
        <v>32739.486032116343</v>
      </c>
      <c r="BP485" s="996">
        <f t="shared" ca="1" si="995"/>
        <v>37038.931142652014</v>
      </c>
      <c r="BQ485" s="996">
        <f t="shared" ca="1" si="995"/>
        <v>41728.234470314099</v>
      </c>
      <c r="BR485" s="996">
        <f t="shared" ca="1" si="995"/>
        <v>45920.680245735683</v>
      </c>
      <c r="BS485" s="265"/>
    </row>
    <row r="486" spans="1:71" s="45" customFormat="1" ht="15">
      <c r="A486" s="402" t="s">
        <v>521</v>
      </c>
      <c r="B486" s="463"/>
      <c r="C486" s="1008">
        <f t="shared" si="996" ref="C486:AP486">SUM(C484:C485)</f>
        <v>33942</v>
      </c>
      <c r="D486" s="1008">
        <f t="shared" si="996"/>
        <v>32086</v>
      </c>
      <c r="E486" s="1008">
        <f t="shared" si="996"/>
        <v>31082</v>
      </c>
      <c r="F486" s="1008">
        <f t="shared" si="996"/>
        <v>31755</v>
      </c>
      <c r="G486" s="1008">
        <f t="shared" si="996"/>
        <v>31142</v>
      </c>
      <c r="H486" s="185">
        <f t="shared" si="996"/>
        <v>31734</v>
      </c>
      <c r="I486" s="185">
        <f t="shared" si="996"/>
        <v>31879</v>
      </c>
      <c r="J486" s="185">
        <f t="shared" si="996"/>
        <v>31669</v>
      </c>
      <c r="K486" s="185">
        <f t="shared" si="996"/>
        <v>31185</v>
      </c>
      <c r="L486" s="1008">
        <f t="shared" si="996"/>
        <v>31185</v>
      </c>
      <c r="M486" s="185">
        <f t="shared" si="996"/>
        <v>31196</v>
      </c>
      <c r="N486" s="185">
        <f t="shared" si="996"/>
        <v>30471</v>
      </c>
      <c r="O486" s="185">
        <f t="shared" si="996"/>
        <v>30776</v>
      </c>
      <c r="P486" s="185">
        <f t="shared" si="996"/>
        <v>29942</v>
      </c>
      <c r="Q486" s="1008">
        <f t="shared" si="996"/>
        <v>29942</v>
      </c>
      <c r="R486" s="185">
        <f t="shared" si="996"/>
        <v>30510</v>
      </c>
      <c r="S486" s="185">
        <f t="shared" si="996"/>
        <v>31150</v>
      </c>
      <c r="T486" s="185">
        <f t="shared" si="996"/>
        <v>30875</v>
      </c>
      <c r="U486" s="185">
        <f t="shared" si="996"/>
        <v>29658</v>
      </c>
      <c r="V486" s="1008">
        <f t="shared" si="996"/>
        <v>29658</v>
      </c>
      <c r="W486" s="185">
        <f t="shared" si="996"/>
        <v>30050</v>
      </c>
      <c r="X486" s="185">
        <f t="shared" si="996"/>
        <v>30778</v>
      </c>
      <c r="Y486" s="185">
        <f t="shared" si="996"/>
        <v>30659</v>
      </c>
      <c r="Z486" s="185">
        <f t="shared" si="996"/>
        <v>30302</v>
      </c>
      <c r="AA486" s="1008">
        <f t="shared" si="996"/>
        <v>30302</v>
      </c>
      <c r="AB486" s="185">
        <f t="shared" si="996"/>
        <v>29942</v>
      </c>
      <c r="AC486" s="185">
        <f t="shared" si="996"/>
        <v>29087</v>
      </c>
      <c r="AD486" s="185">
        <f t="shared" si="996"/>
        <v>29024</v>
      </c>
      <c r="AE486" s="185">
        <f t="shared" si="996"/>
        <v>29458</v>
      </c>
      <c r="AF486" s="1008">
        <f t="shared" si="996"/>
        <v>29458</v>
      </c>
      <c r="AG486" s="185">
        <f t="shared" si="996"/>
        <v>31397</v>
      </c>
      <c r="AH486" s="185">
        <f t="shared" si="996"/>
        <v>31879</v>
      </c>
      <c r="AI486" s="185">
        <f t="shared" si="996"/>
        <v>32165</v>
      </c>
      <c r="AJ486" s="185">
        <f t="shared" si="996"/>
        <v>32501</v>
      </c>
      <c r="AK486" s="1008">
        <f t="shared" si="996"/>
        <v>32501</v>
      </c>
      <c r="AL486" s="185">
        <f t="shared" si="996"/>
        <v>31763</v>
      </c>
      <c r="AM486" s="185">
        <f t="shared" si="996"/>
        <v>33992</v>
      </c>
      <c r="AN486" s="185">
        <f>SUM(AN484:AN485)</f>
        <v>34899</v>
      </c>
      <c r="AO486" s="185">
        <f t="shared" si="996"/>
        <v>35751</v>
      </c>
      <c r="AP486" s="1008">
        <f t="shared" si="996"/>
        <v>35751</v>
      </c>
      <c r="AQ486" s="185">
        <f t="shared" si="997" ref="AQ486">SUM(AQ484:AQ485)</f>
        <v>34819</v>
      </c>
      <c r="AR486" s="185">
        <f t="shared" si="998" ref="AR486:AW486">SUM(AR484:AR485)</f>
        <v>36446</v>
      </c>
      <c r="AS486" s="185">
        <f t="shared" si="998"/>
        <v>35764</v>
      </c>
      <c r="AT486" s="185">
        <f t="shared" si="998"/>
        <v>36177</v>
      </c>
      <c r="AU486" s="1008">
        <f t="shared" si="998"/>
        <v>36177</v>
      </c>
      <c r="AV486" s="185">
        <f t="shared" si="998"/>
        <v>32822</v>
      </c>
      <c r="AW486" s="185">
        <f t="shared" si="998"/>
        <v>30165</v>
      </c>
      <c r="AX486" s="185">
        <f t="shared" si="999" ref="AX486:BJ486">SUM(AX484:AX485)</f>
        <v>27197</v>
      </c>
      <c r="AY486" s="185">
        <f t="shared" si="999"/>
        <v>28852</v>
      </c>
      <c r="AZ486" s="1008">
        <f t="shared" si="999"/>
        <v>28852</v>
      </c>
      <c r="BA486" s="185">
        <f t="shared" si="1000" ref="BA486:BI486">SUM(BA484:BA485)</f>
        <v>30344</v>
      </c>
      <c r="BB486" s="185">
        <f t="shared" si="1000"/>
        <v>29886</v>
      </c>
      <c r="BC486" s="185">
        <f t="shared" si="1000"/>
        <v>28009</v>
      </c>
      <c r="BD486" s="185">
        <f t="shared" si="1000"/>
        <v>32952</v>
      </c>
      <c r="BE486" s="1008">
        <f t="shared" si="1000"/>
        <v>32952</v>
      </c>
      <c r="BF486" s="185">
        <f>SUM(BF484:BF485)</f>
        <v>33054</v>
      </c>
      <c r="BG486" s="185">
        <f>SUM(BG484:BG485)</f>
        <v>32894</v>
      </c>
      <c r="BH486" s="749">
        <f>SUM(BH484:BH485)</f>
        <v>35729</v>
      </c>
      <c r="BI486" s="199">
        <f t="shared" ca="1" si="1000"/>
        <v>36940.003097030072</v>
      </c>
      <c r="BJ486" s="1009">
        <f t="shared" ca="1" si="999"/>
        <v>36940.003097030072</v>
      </c>
      <c r="BK486" s="199">
        <f ca="1" t="shared" si="1001" ref="BK486:BR486">SUM(BK484:BK485)</f>
        <v>38003.415774252484</v>
      </c>
      <c r="BL486" s="199">
        <f t="shared" ca="1" si="1001"/>
        <v>38649.16276942371</v>
      </c>
      <c r="BM486" s="199">
        <f t="shared" ca="1" si="1001"/>
        <v>39489.000256469299</v>
      </c>
      <c r="BN486" s="199">
        <f t="shared" ca="1" si="1001"/>
        <v>40772.486032116343</v>
      </c>
      <c r="BO486" s="1009">
        <f t="shared" ca="1" si="1001"/>
        <v>40772.486032116343</v>
      </c>
      <c r="BP486" s="1009">
        <f t="shared" ca="1" si="1001"/>
        <v>45071.931142652014</v>
      </c>
      <c r="BQ486" s="1009">
        <f t="shared" ca="1" si="1001"/>
        <v>49761.234470314099</v>
      </c>
      <c r="BR486" s="1009">
        <f t="shared" ca="1" si="1001"/>
        <v>53953.680245735683</v>
      </c>
      <c r="BS486" s="185"/>
    </row>
    <row r="487" spans="1:71" ht="15">
      <c r="A487" s="502"/>
      <c r="B487" s="501"/>
      <c r="C487" s="1089"/>
      <c r="D487" s="1089"/>
      <c r="E487" s="1089"/>
      <c r="F487" s="1089"/>
      <c r="G487" s="1089"/>
      <c r="H487" s="432"/>
      <c r="I487" s="432"/>
      <c r="J487" s="432"/>
      <c r="K487" s="432"/>
      <c r="L487" s="1089"/>
      <c r="M487" s="432"/>
      <c r="N487" s="432"/>
      <c r="O487" s="432"/>
      <c r="P487" s="432"/>
      <c r="Q487" s="1089"/>
      <c r="R487" s="432"/>
      <c r="S487" s="432"/>
      <c r="T487" s="432"/>
      <c r="U487" s="432"/>
      <c r="V487" s="1089"/>
      <c r="W487" s="432"/>
      <c r="X487" s="432"/>
      <c r="Y487" s="432"/>
      <c r="Z487" s="432"/>
      <c r="AA487" s="1089"/>
      <c r="AB487" s="432"/>
      <c r="AC487" s="432"/>
      <c r="AD487" s="432"/>
      <c r="AE487" s="432"/>
      <c r="AF487" s="1089"/>
      <c r="AG487" s="432"/>
      <c r="AH487" s="432"/>
      <c r="AI487" s="432"/>
      <c r="AJ487" s="432"/>
      <c r="AK487" s="1089"/>
      <c r="AL487" s="432"/>
      <c r="AM487" s="432"/>
      <c r="AN487" s="432"/>
      <c r="AO487" s="432"/>
      <c r="AP487" s="1089"/>
      <c r="AQ487" s="432"/>
      <c r="AR487" s="432"/>
      <c r="AS487" s="432"/>
      <c r="AT487" s="432"/>
      <c r="AU487" s="1089"/>
      <c r="AV487" s="432"/>
      <c r="AW487" s="432"/>
      <c r="AX487" s="432"/>
      <c r="AY487" s="432"/>
      <c r="AZ487" s="1089"/>
      <c r="BA487" s="432"/>
      <c r="BB487" s="432"/>
      <c r="BC487" s="432"/>
      <c r="BD487" s="432"/>
      <c r="BE487" s="1089"/>
      <c r="BF487" s="432"/>
      <c r="BG487" s="432"/>
      <c r="BH487" s="552"/>
      <c r="BI487" s="432"/>
      <c r="BJ487" s="1089"/>
      <c r="BK487" s="432"/>
      <c r="BL487" s="432"/>
      <c r="BM487" s="432"/>
      <c r="BN487" s="432"/>
      <c r="BO487" s="1089"/>
      <c r="BP487" s="1089"/>
      <c r="BQ487" s="1089"/>
      <c r="BR487" s="1089"/>
      <c r="BS487" s="262"/>
    </row>
    <row r="488" spans="1:71" s="28" customFormat="1" ht="15">
      <c r="A488" s="403" t="s">
        <v>522</v>
      </c>
      <c r="B488" s="459"/>
      <c r="C488" s="1021">
        <f t="shared" si="1002" ref="C488:AP488">C484/C486</f>
        <v>0.19229862706970716</v>
      </c>
      <c r="D488" s="1021">
        <f t="shared" si="1002"/>
        <v>0.2060400174530948</v>
      </c>
      <c r="E488" s="1021">
        <f t="shared" si="1002"/>
        <v>0.2125024129721382</v>
      </c>
      <c r="F488" s="1021">
        <f t="shared" si="1002"/>
        <v>0.19996850889623682</v>
      </c>
      <c r="G488" s="1021">
        <f t="shared" si="1002"/>
        <v>0.20377625072249694</v>
      </c>
      <c r="H488" s="43">
        <f t="shared" si="1002"/>
        <v>0.20000630238860528</v>
      </c>
      <c r="I488" s="43">
        <f t="shared" si="1002"/>
        <v>0.19909658395809154</v>
      </c>
      <c r="J488" s="43">
        <f t="shared" si="1002"/>
        <v>0.20044838801351481</v>
      </c>
      <c r="K488" s="43">
        <f t="shared" si="1002"/>
        <v>0.20359147025813693</v>
      </c>
      <c r="L488" s="1021">
        <f t="shared" si="1002"/>
        <v>0.20359147025813693</v>
      </c>
      <c r="M488" s="43">
        <f t="shared" si="1002"/>
        <v>0.20351968201051418</v>
      </c>
      <c r="N488" s="43">
        <f t="shared" si="1002"/>
        <v>0.20839486725082865</v>
      </c>
      <c r="O488" s="43">
        <f t="shared" si="1002"/>
        <v>0.21909929815440604</v>
      </c>
      <c r="P488" s="43">
        <f t="shared" si="1002"/>
        <v>0.21187629416872619</v>
      </c>
      <c r="Q488" s="1021">
        <f t="shared" si="1002"/>
        <v>0.21187629416872619</v>
      </c>
      <c r="R488" s="43">
        <f t="shared" si="1002"/>
        <v>0.20793182563094068</v>
      </c>
      <c r="S488" s="43">
        <f t="shared" si="1002"/>
        <v>0.20661316211878009</v>
      </c>
      <c r="T488" s="43">
        <f t="shared" si="1002"/>
        <v>0.20845344129554655</v>
      </c>
      <c r="U488" s="43">
        <f t="shared" si="1002"/>
        <v>0.21704093330635915</v>
      </c>
      <c r="V488" s="1021">
        <f t="shared" si="1002"/>
        <v>0.21704093330635915</v>
      </c>
      <c r="W488" s="43">
        <f t="shared" si="1002"/>
        <v>0.21424292845257903</v>
      </c>
      <c r="X488" s="43">
        <f t="shared" si="1002"/>
        <v>0.22483592176229775</v>
      </c>
      <c r="Y488" s="43">
        <f t="shared" si="1002"/>
        <v>0.22574121791317395</v>
      </c>
      <c r="Z488" s="43">
        <f t="shared" si="1002"/>
        <v>0.21685037291267903</v>
      </c>
      <c r="AA488" s="1021">
        <f t="shared" si="1002"/>
        <v>0.21685037291267903</v>
      </c>
      <c r="AB488" s="43">
        <f t="shared" si="1002"/>
        <v>0.23254959588537841</v>
      </c>
      <c r="AC488" s="43">
        <f t="shared" si="1002"/>
        <v>0.22222986213772475</v>
      </c>
      <c r="AD488" s="43">
        <f t="shared" si="1002"/>
        <v>0.22615766262403528</v>
      </c>
      <c r="AE488" s="43">
        <f t="shared" si="1002"/>
        <v>0.22282571797134904</v>
      </c>
      <c r="AF488" s="1021">
        <f t="shared" si="1002"/>
        <v>0.22282571797134904</v>
      </c>
      <c r="AG488" s="43">
        <f t="shared" si="1002"/>
        <v>0.22476669745517089</v>
      </c>
      <c r="AH488" s="43">
        <f t="shared" si="1002"/>
        <v>0.2057153612095737</v>
      </c>
      <c r="AI488" s="43">
        <f t="shared" si="1002"/>
        <v>0.20388621172081456</v>
      </c>
      <c r="AJ488" s="43">
        <f t="shared" si="1002"/>
        <v>0.20177840681825174</v>
      </c>
      <c r="AK488" s="1021">
        <f t="shared" si="1002"/>
        <v>0.20177840681825174</v>
      </c>
      <c r="AL488" s="43">
        <f t="shared" si="1002"/>
        <v>0.20649812675125145</v>
      </c>
      <c r="AM488" s="43">
        <f t="shared" si="1002"/>
        <v>0.20737232289950577</v>
      </c>
      <c r="AN488" s="43">
        <f>AN484/AN486</f>
        <v>0.20201151895469785</v>
      </c>
      <c r="AO488" s="43">
        <f t="shared" si="1002"/>
        <v>0.18321165841514922</v>
      </c>
      <c r="AP488" s="1021">
        <f t="shared" si="1002"/>
        <v>0.18321165841514922</v>
      </c>
      <c r="AQ488" s="43">
        <f t="shared" si="1003" ref="AQ488">AQ484/AQ486</f>
        <v>0.18811568396565093</v>
      </c>
      <c r="AR488" s="43">
        <f t="shared" si="1004" ref="AR488:AW488">AR484/AR486</f>
        <v>0.20002195028260988</v>
      </c>
      <c r="AS488" s="43">
        <f t="shared" si="1004"/>
        <v>0.20383625992618276</v>
      </c>
      <c r="AT488" s="43">
        <f t="shared" si="1004"/>
        <v>0.20150924620615307</v>
      </c>
      <c r="AU488" s="1021">
        <f t="shared" si="1004"/>
        <v>0.20150924620615307</v>
      </c>
      <c r="AV488" s="43">
        <f t="shared" si="1004"/>
        <v>0.2221375906404241</v>
      </c>
      <c r="AW488" s="43">
        <f t="shared" si="1004"/>
        <v>0.24170396154483673</v>
      </c>
      <c r="AX488" s="43">
        <f t="shared" si="1005" ref="AX488:BJ488">AX484/AX486</f>
        <v>0.268081038349818</v>
      </c>
      <c r="AY488" s="43">
        <f t="shared" si="1005"/>
        <v>0.25273811174268679</v>
      </c>
      <c r="AZ488" s="1021">
        <f t="shared" si="1005"/>
        <v>0.25273811174268679</v>
      </c>
      <c r="BA488" s="43">
        <f t="shared" si="1006" ref="BA488:BI488">BA484/BA486</f>
        <v>0.24031109939361983</v>
      </c>
      <c r="BB488" s="43">
        <f t="shared" si="1006"/>
        <v>0.26872114033326644</v>
      </c>
      <c r="BC488" s="43">
        <f t="shared" si="1006"/>
        <v>0.28672926559320216</v>
      </c>
      <c r="BD488" s="43">
        <f t="shared" si="1006"/>
        <v>0.24371813546977422</v>
      </c>
      <c r="BE488" s="1021">
        <f t="shared" si="1006"/>
        <v>0.24371813546977422</v>
      </c>
      <c r="BF488" s="43">
        <f>BF484/BF486</f>
        <v>0.24299630907000666</v>
      </c>
      <c r="BG488" s="43">
        <f>BG484/BG486</f>
        <v>0.24417826959323888</v>
      </c>
      <c r="BH488" s="758">
        <f>BH484/BH486</f>
        <v>0.22483136947577598</v>
      </c>
      <c r="BI488" s="460">
        <f t="shared" ca="1" si="1006"/>
        <v>0.21746072892576024</v>
      </c>
      <c r="BJ488" s="1018">
        <f t="shared" ca="1" si="1005"/>
        <v>0.21746072892576024</v>
      </c>
      <c r="BK488" s="460">
        <f ca="1" t="shared" si="1007" ref="BK488:BR488">BK484/BK486</f>
        <v>0.21137573653161987</v>
      </c>
      <c r="BL488" s="460">
        <f t="shared" ca="1" si="1007"/>
        <v>0.20784408831632184</v>
      </c>
      <c r="BM488" s="460">
        <f t="shared" ca="1" si="1007"/>
        <v>0.20342373693504665</v>
      </c>
      <c r="BN488" s="460">
        <f t="shared" ca="1" si="1007"/>
        <v>0.19702011777433523</v>
      </c>
      <c r="BO488" s="1018">
        <f t="shared" ca="1" si="1007"/>
        <v>0.19702011777433523</v>
      </c>
      <c r="BP488" s="1018">
        <f t="shared" ca="1" si="1007"/>
        <v>0.17822622187133874</v>
      </c>
      <c r="BQ488" s="1018">
        <f t="shared" ca="1" si="1007"/>
        <v>0.16143088260385141</v>
      </c>
      <c r="BR488" s="1018">
        <f t="shared" ca="1" si="1007"/>
        <v>0.14888697051643482</v>
      </c>
      <c r="BS488" s="43"/>
    </row>
    <row r="489" spans="1:71" ht="15">
      <c r="A489" s="502"/>
      <c r="B489" s="501"/>
      <c r="C489" s="1089"/>
      <c r="D489" s="1089"/>
      <c r="E489" s="1089"/>
      <c r="F489" s="1089"/>
      <c r="G489" s="1089"/>
      <c r="H489" s="432"/>
      <c r="I489" s="432"/>
      <c r="J489" s="432"/>
      <c r="K489" s="432"/>
      <c r="L489" s="1089"/>
      <c r="M489" s="432"/>
      <c r="N489" s="432"/>
      <c r="O489" s="432"/>
      <c r="P489" s="432"/>
      <c r="Q489" s="1089"/>
      <c r="R489" s="432"/>
      <c r="S489" s="432"/>
      <c r="T489" s="432"/>
      <c r="U489" s="432"/>
      <c r="V489" s="1089"/>
      <c r="W489" s="432"/>
      <c r="X489" s="432"/>
      <c r="Y489" s="432"/>
      <c r="Z489" s="432"/>
      <c r="AA489" s="1089"/>
      <c r="AB489" s="432"/>
      <c r="AC489" s="432"/>
      <c r="AD489" s="432"/>
      <c r="AE489" s="432"/>
      <c r="AF489" s="1089"/>
      <c r="AG489" s="432"/>
      <c r="AH489" s="432"/>
      <c r="AI489" s="432"/>
      <c r="AJ489" s="432"/>
      <c r="AK489" s="1089"/>
      <c r="AL489" s="432"/>
      <c r="AM489" s="432"/>
      <c r="AN489" s="432"/>
      <c r="AO489" s="432"/>
      <c r="AP489" s="1089"/>
      <c r="AQ489" s="432"/>
      <c r="AR489" s="432"/>
      <c r="AS489" s="432"/>
      <c r="AT489" s="432"/>
      <c r="AU489" s="1089"/>
      <c r="AV489" s="432"/>
      <c r="AW489" s="432"/>
      <c r="AX489" s="432"/>
      <c r="AY489" s="432"/>
      <c r="AZ489" s="1089"/>
      <c r="BA489" s="432"/>
      <c r="BB489" s="432"/>
      <c r="BC489" s="432"/>
      <c r="BD489" s="432"/>
      <c r="BE489" s="1089"/>
      <c r="BF489" s="432"/>
      <c r="BG489" s="432"/>
      <c r="BH489" s="552"/>
      <c r="BI489" s="432"/>
      <c r="BJ489" s="1089"/>
      <c r="BK489" s="432"/>
      <c r="BL489" s="432"/>
      <c r="BM489" s="432"/>
      <c r="BN489" s="432"/>
      <c r="BO489" s="1089"/>
      <c r="BP489" s="1089"/>
      <c r="BQ489" s="1089"/>
      <c r="BR489" s="1089"/>
      <c r="BS489" s="262"/>
    </row>
    <row r="490" spans="1:71" s="261" customFormat="1" ht="15">
      <c r="A490" s="406" t="s">
        <v>523</v>
      </c>
      <c r="B490" s="485"/>
      <c r="C490" s="993">
        <f t="shared" si="1008" ref="C490:AM490">C607+C608</f>
        <v>351</v>
      </c>
      <c r="D490" s="993">
        <f t="shared" si="1008"/>
        <v>74</v>
      </c>
      <c r="E490" s="993">
        <f t="shared" si="1008"/>
        <v>-8</v>
      </c>
      <c r="F490" s="993">
        <f t="shared" si="1008"/>
        <v>-258</v>
      </c>
      <c r="G490" s="993">
        <f t="shared" si="1008"/>
        <v>-6</v>
      </c>
      <c r="H490" s="265">
        <f t="shared" si="1008"/>
        <v>0</v>
      </c>
      <c r="I490" s="265">
        <f t="shared" si="1008"/>
        <v>0</v>
      </c>
      <c r="J490" s="265">
        <f t="shared" si="1008"/>
        <v>0</v>
      </c>
      <c r="K490" s="265">
        <f t="shared" si="1008"/>
        <v>0</v>
      </c>
      <c r="L490" s="993">
        <f t="shared" si="1008"/>
        <v>0</v>
      </c>
      <c r="M490" s="265">
        <f t="shared" si="1008"/>
        <v>0</v>
      </c>
      <c r="N490" s="265">
        <f t="shared" si="1008"/>
        <v>0</v>
      </c>
      <c r="O490" s="265">
        <f t="shared" si="1008"/>
        <v>392</v>
      </c>
      <c r="P490" s="265">
        <f t="shared" si="1008"/>
        <v>-400</v>
      </c>
      <c r="Q490" s="993">
        <f t="shared" si="1008"/>
        <v>-8</v>
      </c>
      <c r="R490" s="265">
        <f t="shared" si="1008"/>
        <v>0</v>
      </c>
      <c r="S490" s="265">
        <f t="shared" si="1008"/>
        <v>91</v>
      </c>
      <c r="T490" s="265">
        <f t="shared" si="1008"/>
        <v>0</v>
      </c>
      <c r="U490" s="265">
        <f t="shared" si="1008"/>
        <v>0</v>
      </c>
      <c r="V490" s="993">
        <f t="shared" si="1008"/>
        <v>91</v>
      </c>
      <c r="W490" s="265">
        <f t="shared" si="1008"/>
        <v>0</v>
      </c>
      <c r="X490" s="265">
        <f t="shared" si="1008"/>
        <v>482</v>
      </c>
      <c r="Y490" s="265">
        <f t="shared" si="1008"/>
        <v>0</v>
      </c>
      <c r="Z490" s="265">
        <f t="shared" si="1008"/>
        <v>-350</v>
      </c>
      <c r="AA490" s="993">
        <f t="shared" si="1008"/>
        <v>132</v>
      </c>
      <c r="AB490" s="265">
        <f t="shared" si="1008"/>
        <v>391</v>
      </c>
      <c r="AC490" s="265">
        <f t="shared" si="1008"/>
        <v>-500</v>
      </c>
      <c r="AD490" s="265">
        <f t="shared" si="1008"/>
        <v>100</v>
      </c>
      <c r="AE490" s="265">
        <f t="shared" si="1008"/>
        <v>0</v>
      </c>
      <c r="AF490" s="993">
        <f t="shared" si="1008"/>
        <v>-9</v>
      </c>
      <c r="AG490" s="265">
        <f t="shared" si="1008"/>
        <v>492</v>
      </c>
      <c r="AH490" s="265">
        <f t="shared" si="1008"/>
        <v>-500</v>
      </c>
      <c r="AI490" s="265">
        <f t="shared" si="1008"/>
        <v>0</v>
      </c>
      <c r="AJ490" s="265">
        <f t="shared" si="1008"/>
        <v>0</v>
      </c>
      <c r="AK490" s="993">
        <f t="shared" si="1008"/>
        <v>-8</v>
      </c>
      <c r="AL490" s="265">
        <f t="shared" si="1008"/>
        <v>0</v>
      </c>
      <c r="AM490" s="265">
        <f t="shared" si="1008"/>
        <v>490</v>
      </c>
      <c r="AN490" s="265">
        <f>AN607+AN608</f>
        <v>0</v>
      </c>
      <c r="AO490" s="265">
        <f t="shared" si="1009" ref="AO490:AQ490">AO607+AO608</f>
        <v>-500</v>
      </c>
      <c r="AP490" s="993">
        <f t="shared" si="1009"/>
        <v>-10</v>
      </c>
      <c r="AQ490" s="265">
        <f t="shared" si="1009"/>
        <v>0</v>
      </c>
      <c r="AR490" s="265">
        <f t="shared" si="1010" ref="AR490:AW490">AR607+AR608</f>
        <v>739</v>
      </c>
      <c r="AS490" s="265">
        <f t="shared" si="1010"/>
        <v>0</v>
      </c>
      <c r="AT490" s="265">
        <f t="shared" si="1010"/>
        <v>0</v>
      </c>
      <c r="AU490" s="993">
        <f t="shared" si="1010"/>
        <v>739</v>
      </c>
      <c r="AV490" s="265">
        <f t="shared" si="1010"/>
        <v>0</v>
      </c>
      <c r="AW490" s="265">
        <f t="shared" si="1010"/>
        <v>0</v>
      </c>
      <c r="AX490" s="265">
        <f t="shared" si="1011" ref="AX490:BC490">AX607+AX608</f>
        <v>0</v>
      </c>
      <c r="AY490" s="265">
        <f t="shared" si="1011"/>
        <v>0</v>
      </c>
      <c r="AZ490" s="993">
        <f t="shared" si="1011"/>
        <v>0</v>
      </c>
      <c r="BA490" s="265">
        <f t="shared" si="1011"/>
        <v>0</v>
      </c>
      <c r="BB490" s="265">
        <f t="shared" si="1011"/>
        <v>738</v>
      </c>
      <c r="BC490" s="265">
        <f t="shared" si="1011"/>
        <v>0</v>
      </c>
      <c r="BD490" s="265">
        <f>BD607+BD608</f>
        <v>0</v>
      </c>
      <c r="BE490" s="993">
        <f>BE607+BE608</f>
        <v>738</v>
      </c>
      <c r="BF490" s="265">
        <f>BF607+BF608</f>
        <v>0</v>
      </c>
      <c r="BG490" s="265">
        <f>BG607+BG608</f>
        <v>0</v>
      </c>
      <c r="BH490" s="745">
        <f>BH607+BH608</f>
        <v>0</v>
      </c>
      <c r="BI490" s="924">
        <v>0</v>
      </c>
      <c r="BJ490" s="994">
        <f>BJ607+BJ608</f>
        <v>0</v>
      </c>
      <c r="BK490" s="924">
        <v>0</v>
      </c>
      <c r="BL490" s="924">
        <v>0</v>
      </c>
      <c r="BM490" s="924">
        <v>0</v>
      </c>
      <c r="BN490" s="924">
        <v>0</v>
      </c>
      <c r="BO490" s="994">
        <f>BO607+BO608</f>
        <v>0</v>
      </c>
      <c r="BP490" s="1032">
        <v>0</v>
      </c>
      <c r="BQ490" s="1032">
        <v>0</v>
      </c>
      <c r="BR490" s="1032">
        <v>0</v>
      </c>
      <c r="BS490" s="265"/>
    </row>
    <row r="491" spans="1:71" s="261" customFormat="1" ht="15">
      <c r="A491" s="406" t="s">
        <v>524</v>
      </c>
      <c r="B491" s="485"/>
      <c r="C491" s="993">
        <f t="shared" si="1012" ref="C491:AM491">C604+C605+C609</f>
        <v>-3108</v>
      </c>
      <c r="D491" s="993">
        <f t="shared" si="1012"/>
        <v>-4630</v>
      </c>
      <c r="E491" s="993">
        <f t="shared" si="1012"/>
        <v>-2651</v>
      </c>
      <c r="F491" s="993">
        <f t="shared" si="1012"/>
        <v>-1232</v>
      </c>
      <c r="G491" s="993">
        <f t="shared" si="1012"/>
        <v>-2255</v>
      </c>
      <c r="H491" s="265">
        <f t="shared" si="1012"/>
        <v>-647</v>
      </c>
      <c r="I491" s="265">
        <f t="shared" si="1012"/>
        <v>-811</v>
      </c>
      <c r="J491" s="265">
        <f t="shared" si="1012"/>
        <v>-719</v>
      </c>
      <c r="K491" s="265">
        <f t="shared" si="1012"/>
        <v>-960</v>
      </c>
      <c r="L491" s="993">
        <f t="shared" si="1012"/>
        <v>-3137</v>
      </c>
      <c r="M491" s="265">
        <f t="shared" si="1012"/>
        <v>-581</v>
      </c>
      <c r="N491" s="265">
        <f t="shared" si="1012"/>
        <v>-774</v>
      </c>
      <c r="O491" s="265">
        <f t="shared" si="1012"/>
        <v>-726</v>
      </c>
      <c r="P491" s="265">
        <f t="shared" si="1012"/>
        <v>-960</v>
      </c>
      <c r="Q491" s="993">
        <f t="shared" si="1012"/>
        <v>-3041</v>
      </c>
      <c r="R491" s="265">
        <f t="shared" si="1012"/>
        <v>-545</v>
      </c>
      <c r="S491" s="265">
        <f t="shared" si="1012"/>
        <v>-485</v>
      </c>
      <c r="T491" s="265">
        <f t="shared" si="1012"/>
        <v>-527</v>
      </c>
      <c r="U491" s="265">
        <f t="shared" si="1012"/>
        <v>-583</v>
      </c>
      <c r="V491" s="993">
        <f t="shared" si="1012"/>
        <v>-2140</v>
      </c>
      <c r="W491" s="265">
        <f t="shared" si="1012"/>
        <v>-203</v>
      </c>
      <c r="X491" s="265">
        <f t="shared" si="1012"/>
        <v>-440</v>
      </c>
      <c r="Y491" s="265">
        <f t="shared" si="1012"/>
        <v>-298</v>
      </c>
      <c r="Z491" s="265">
        <f t="shared" si="1012"/>
        <v>-326</v>
      </c>
      <c r="AA491" s="993">
        <f t="shared" si="1012"/>
        <v>-1267</v>
      </c>
      <c r="AB491" s="265">
        <f t="shared" si="1012"/>
        <v>-316</v>
      </c>
      <c r="AC491" s="265">
        <f t="shared" si="1012"/>
        <v>-337</v>
      </c>
      <c r="AD491" s="265">
        <f t="shared" si="1012"/>
        <v>-381</v>
      </c>
      <c r="AE491" s="265">
        <f t="shared" si="1012"/>
        <v>-155</v>
      </c>
      <c r="AF491" s="993">
        <f t="shared" si="1012"/>
        <v>-1189</v>
      </c>
      <c r="AG491" s="265">
        <f t="shared" si="1012"/>
        <v>-358</v>
      </c>
      <c r="AH491" s="265">
        <f t="shared" si="1012"/>
        <v>-265</v>
      </c>
      <c r="AI491" s="265">
        <f t="shared" si="1012"/>
        <v>-343</v>
      </c>
      <c r="AJ491" s="265">
        <f t="shared" si="1012"/>
        <v>-369</v>
      </c>
      <c r="AK491" s="993">
        <f t="shared" si="1012"/>
        <v>-1335</v>
      </c>
      <c r="AL491" s="265">
        <f t="shared" si="1012"/>
        <v>-440</v>
      </c>
      <c r="AM491" s="265">
        <f t="shared" si="1012"/>
        <v>34</v>
      </c>
      <c r="AN491" s="265">
        <f>AN604+AN605+AN609</f>
        <v>7</v>
      </c>
      <c r="AO491" s="265">
        <f t="shared" si="1013" ref="AO491:AQ491">AO604+AO605+AO609</f>
        <v>-146</v>
      </c>
      <c r="AP491" s="993">
        <f t="shared" si="1013"/>
        <v>-545</v>
      </c>
      <c r="AQ491" s="265">
        <f t="shared" si="1013"/>
        <v>-263</v>
      </c>
      <c r="AR491" s="265">
        <f t="shared" si="1014" ref="AR491:AW491">AR604+AR605+AR609</f>
        <v>-329</v>
      </c>
      <c r="AS491" s="265">
        <f t="shared" si="1014"/>
        <v>-551</v>
      </c>
      <c r="AT491" s="265">
        <f t="shared" si="1014"/>
        <v>-764</v>
      </c>
      <c r="AU491" s="993">
        <f t="shared" si="1014"/>
        <v>-1907</v>
      </c>
      <c r="AV491" s="265">
        <f t="shared" si="1014"/>
        <v>-400</v>
      </c>
      <c r="AW491" s="265">
        <f t="shared" si="1014"/>
        <v>-465</v>
      </c>
      <c r="AX491" s="265">
        <f t="shared" si="1015" ref="AX491:BC491">AX604+AX605+AX609</f>
        <v>-490</v>
      </c>
      <c r="AY491" s="265">
        <f t="shared" si="1015"/>
        <v>-439</v>
      </c>
      <c r="AZ491" s="993">
        <f t="shared" si="1015"/>
        <v>-1794</v>
      </c>
      <c r="BA491" s="265">
        <f t="shared" si="1015"/>
        <v>-378</v>
      </c>
      <c r="BB491" s="265">
        <f t="shared" si="1015"/>
        <v>-368</v>
      </c>
      <c r="BC491" s="265">
        <f t="shared" si="1015"/>
        <v>-94</v>
      </c>
      <c r="BD491" s="265">
        <f>BD604+BD605+BD609</f>
        <v>-41</v>
      </c>
      <c r="BE491" s="993">
        <f>BE604+BE605+BE609</f>
        <v>-881</v>
      </c>
      <c r="BF491" s="265">
        <f>BF604+BF605+BF609</f>
        <v>-170</v>
      </c>
      <c r="BG491" s="265">
        <f>BG604+BG605+BG609</f>
        <v>-228</v>
      </c>
      <c r="BH491" s="745">
        <f>BH604+BH605+BH609</f>
        <v>-216</v>
      </c>
      <c r="BI491" s="924">
        <v>0</v>
      </c>
      <c r="BJ491" s="994">
        <f>BJ604+BJ605+BJ609</f>
        <v>-614</v>
      </c>
      <c r="BK491" s="924">
        <v>0</v>
      </c>
      <c r="BL491" s="924">
        <v>0</v>
      </c>
      <c r="BM491" s="924">
        <v>0</v>
      </c>
      <c r="BN491" s="924">
        <v>0</v>
      </c>
      <c r="BO491" s="994">
        <f>BO604+BO605+BO609</f>
        <v>0</v>
      </c>
      <c r="BP491" s="1032">
        <v>0</v>
      </c>
      <c r="BQ491" s="1032">
        <v>0</v>
      </c>
      <c r="BR491" s="1032">
        <v>0</v>
      </c>
      <c r="BS491" s="265"/>
    </row>
    <row r="492" spans="1:71" s="32" customFormat="1" ht="15">
      <c r="A492" s="407" t="s">
        <v>525</v>
      </c>
      <c r="B492" s="487"/>
      <c r="C492" s="1048"/>
      <c r="D492" s="1048"/>
      <c r="E492" s="1048"/>
      <c r="F492" s="1048"/>
      <c r="G492" s="1048"/>
      <c r="H492" s="301"/>
      <c r="I492" s="301"/>
      <c r="J492" s="301"/>
      <c r="K492" s="301"/>
      <c r="L492" s="1048"/>
      <c r="M492" s="301"/>
      <c r="N492" s="301"/>
      <c r="O492" s="301"/>
      <c r="P492" s="301"/>
      <c r="Q492" s="1048"/>
      <c r="R492" s="301"/>
      <c r="S492" s="301"/>
      <c r="T492" s="301"/>
      <c r="U492" s="301"/>
      <c r="V492" s="1048"/>
      <c r="W492" s="301"/>
      <c r="X492" s="301"/>
      <c r="Y492" s="301"/>
      <c r="Z492" s="301"/>
      <c r="AA492" s="1048"/>
      <c r="AB492" s="301"/>
      <c r="AC492" s="301"/>
      <c r="AD492" s="301"/>
      <c r="AE492" s="301"/>
      <c r="AF492" s="1048"/>
      <c r="AG492" s="301"/>
      <c r="AH492" s="301"/>
      <c r="AI492" s="301"/>
      <c r="AJ492" s="301"/>
      <c r="AK492" s="1048"/>
      <c r="AL492" s="301"/>
      <c r="AM492" s="301"/>
      <c r="AN492" s="301"/>
      <c r="AO492" s="301"/>
      <c r="AP492" s="1048"/>
      <c r="AQ492" s="301"/>
      <c r="AR492" s="301"/>
      <c r="AS492" s="301"/>
      <c r="AT492" s="301"/>
      <c r="AU492" s="1048"/>
      <c r="AV492" s="301"/>
      <c r="AW492" s="301"/>
      <c r="AX492" s="301"/>
      <c r="AY492" s="301"/>
      <c r="AZ492" s="1048"/>
      <c r="BA492" s="301"/>
      <c r="BB492" s="301"/>
      <c r="BC492" s="301"/>
      <c r="BD492" s="301"/>
      <c r="BE492" s="1048"/>
      <c r="BF492" s="301"/>
      <c r="BG492" s="301"/>
      <c r="BH492" s="763"/>
      <c r="BI492" s="941">
        <v>243</v>
      </c>
      <c r="BJ492" s="1048">
        <f>AVERAGE(BF492,BG492,BH492,BI492)</f>
        <v>243</v>
      </c>
      <c r="BK492" s="941">
        <v>267</v>
      </c>
      <c r="BL492" s="941">
        <v>267</v>
      </c>
      <c r="BM492" s="941">
        <v>267</v>
      </c>
      <c r="BN492" s="941">
        <v>267</v>
      </c>
      <c r="BO492" s="1048">
        <f>AVERAGE(BK492,BL492,BM492,BN492)</f>
        <v>267</v>
      </c>
      <c r="BP492" s="1047">
        <v>294</v>
      </c>
      <c r="BQ492" s="1047">
        <v>323</v>
      </c>
      <c r="BR492" s="1047">
        <v>355</v>
      </c>
      <c r="BS492" s="300"/>
    </row>
    <row r="493" spans="1:71" ht="15">
      <c r="A493" s="502"/>
      <c r="B493" s="501"/>
      <c r="C493" s="1089"/>
      <c r="D493" s="1089"/>
      <c r="E493" s="1089"/>
      <c r="F493" s="1089"/>
      <c r="G493" s="1089"/>
      <c r="H493" s="432"/>
      <c r="I493" s="432"/>
      <c r="J493" s="432"/>
      <c r="K493" s="432"/>
      <c r="L493" s="1089"/>
      <c r="M493" s="432"/>
      <c r="N493" s="432"/>
      <c r="O493" s="432"/>
      <c r="P493" s="432"/>
      <c r="Q493" s="1089"/>
      <c r="R493" s="432"/>
      <c r="S493" s="432"/>
      <c r="T493" s="432"/>
      <c r="U493" s="432"/>
      <c r="V493" s="1089"/>
      <c r="W493" s="432"/>
      <c r="X493" s="432"/>
      <c r="Y493" s="432"/>
      <c r="Z493" s="432"/>
      <c r="AA493" s="1089"/>
      <c r="AB493" s="432"/>
      <c r="AC493" s="432"/>
      <c r="AD493" s="432"/>
      <c r="AE493" s="432"/>
      <c r="AF493" s="1089"/>
      <c r="AG493" s="432"/>
      <c r="AH493" s="432"/>
      <c r="AI493" s="432"/>
      <c r="AJ493" s="432"/>
      <c r="AK493" s="1089"/>
      <c r="AL493" s="432"/>
      <c r="AM493" s="432"/>
      <c r="AN493" s="432"/>
      <c r="AO493" s="432"/>
      <c r="AP493" s="1089"/>
      <c r="AQ493" s="432"/>
      <c r="AR493" s="432"/>
      <c r="AS493" s="432"/>
      <c r="AT493" s="432"/>
      <c r="AU493" s="1089"/>
      <c r="AV493" s="432"/>
      <c r="AW493" s="432"/>
      <c r="AX493" s="432"/>
      <c r="AY493" s="432"/>
      <c r="AZ493" s="1089"/>
      <c r="BA493" s="432"/>
      <c r="BB493" s="432"/>
      <c r="BC493" s="432"/>
      <c r="BD493" s="432"/>
      <c r="BE493" s="1089"/>
      <c r="BF493" s="432"/>
      <c r="BG493" s="432"/>
      <c r="BH493" s="552"/>
      <c r="BI493" s="432"/>
      <c r="BJ493" s="1089"/>
      <c r="BK493" s="432"/>
      <c r="BL493" s="432"/>
      <c r="BM493" s="432"/>
      <c r="BN493" s="432"/>
      <c r="BO493" s="1089"/>
      <c r="BP493" s="1089"/>
      <c r="BQ493" s="1089"/>
      <c r="BR493" s="1089"/>
      <c r="BS493" s="262"/>
    </row>
    <row r="494" spans="1:71" s="261" customFormat="1" ht="15">
      <c r="A494" s="404" t="s">
        <v>141</v>
      </c>
      <c r="B494" s="485"/>
      <c r="C494" s="993">
        <f t="shared" si="1016" ref="C494:AW494">C352</f>
        <v>382</v>
      </c>
      <c r="D494" s="993">
        <f t="shared" si="1016"/>
        <v>388</v>
      </c>
      <c r="E494" s="993">
        <f t="shared" si="1016"/>
        <v>386</v>
      </c>
      <c r="F494" s="993">
        <f t="shared" si="1016"/>
        <v>378</v>
      </c>
      <c r="G494" s="993">
        <f t="shared" si="1016"/>
        <v>361</v>
      </c>
      <c r="H494" s="265">
        <f t="shared" si="1016"/>
        <v>92</v>
      </c>
      <c r="I494" s="265">
        <f t="shared" si="1016"/>
        <v>92</v>
      </c>
      <c r="J494" s="265">
        <f t="shared" si="1016"/>
        <v>93</v>
      </c>
      <c r="K494" s="265">
        <f t="shared" si="1016"/>
        <v>92</v>
      </c>
      <c r="L494" s="993">
        <f t="shared" si="1016"/>
        <v>369</v>
      </c>
      <c r="M494" s="265">
        <f t="shared" si="1016"/>
        <v>92</v>
      </c>
      <c r="N494" s="265">
        <f t="shared" si="1016"/>
        <v>92</v>
      </c>
      <c r="O494" s="265">
        <f t="shared" si="1016"/>
        <v>94</v>
      </c>
      <c r="P494" s="265">
        <f t="shared" si="1016"/>
        <v>95</v>
      </c>
      <c r="Q494" s="993">
        <f t="shared" si="1016"/>
        <v>373</v>
      </c>
      <c r="R494" s="265">
        <f t="shared" si="1016"/>
        <v>91</v>
      </c>
      <c r="S494" s="265">
        <f t="shared" si="1016"/>
        <v>93</v>
      </c>
      <c r="T494" s="265">
        <f t="shared" si="1016"/>
        <v>89</v>
      </c>
      <c r="U494" s="265">
        <f t="shared" si="1016"/>
        <v>90</v>
      </c>
      <c r="V494" s="993">
        <f t="shared" si="1016"/>
        <v>363</v>
      </c>
      <c r="W494" s="265">
        <f t="shared" si="1016"/>
        <v>89</v>
      </c>
      <c r="X494" s="265">
        <f t="shared" si="1016"/>
        <v>92</v>
      </c>
      <c r="Y494" s="265">
        <f t="shared" si="1016"/>
        <v>95</v>
      </c>
      <c r="Z494" s="265">
        <f t="shared" si="1016"/>
        <v>93</v>
      </c>
      <c r="AA494" s="993">
        <f t="shared" si="1016"/>
        <v>369</v>
      </c>
      <c r="AB494" s="265">
        <f t="shared" si="1016"/>
        <v>89</v>
      </c>
      <c r="AC494" s="265">
        <f t="shared" si="1016"/>
        <v>90</v>
      </c>
      <c r="AD494" s="265">
        <f t="shared" si="1016"/>
        <v>86</v>
      </c>
      <c r="AE494" s="265">
        <f t="shared" si="1016"/>
        <v>87</v>
      </c>
      <c r="AF494" s="993">
        <f t="shared" si="1016"/>
        <v>352</v>
      </c>
      <c r="AG494" s="265">
        <f t="shared" si="1016"/>
        <v>88</v>
      </c>
      <c r="AH494" s="265">
        <f t="shared" si="1016"/>
        <v>89</v>
      </c>
      <c r="AI494" s="265">
        <f t="shared" si="1016"/>
        <v>84</v>
      </c>
      <c r="AJ494" s="265">
        <f t="shared" si="1016"/>
        <v>83</v>
      </c>
      <c r="AK494" s="993">
        <f t="shared" si="1016"/>
        <v>344</v>
      </c>
      <c r="AL494" s="265">
        <f t="shared" si="1016"/>
        <v>84</v>
      </c>
      <c r="AM494" s="265">
        <f t="shared" si="1016"/>
        <v>85</v>
      </c>
      <c r="AN494" s="265">
        <f t="shared" si="1016"/>
        <v>87</v>
      </c>
      <c r="AO494" s="265">
        <f t="shared" si="1016"/>
        <v>83</v>
      </c>
      <c r="AP494" s="993">
        <f t="shared" si="1016"/>
        <v>339</v>
      </c>
      <c r="AQ494" s="265">
        <f t="shared" si="1016"/>
        <v>82</v>
      </c>
      <c r="AR494" s="265">
        <f t="shared" si="1016"/>
        <v>83</v>
      </c>
      <c r="AS494" s="265">
        <f t="shared" si="1016"/>
        <v>87</v>
      </c>
      <c r="AT494" s="265">
        <f t="shared" si="1016"/>
        <v>88</v>
      </c>
      <c r="AU494" s="993">
        <f t="shared" si="1016"/>
        <v>340</v>
      </c>
      <c r="AV494" s="265">
        <f t="shared" si="1016"/>
        <v>87</v>
      </c>
      <c r="AW494" s="265">
        <f t="shared" si="1016"/>
        <v>88</v>
      </c>
      <c r="AX494" s="265">
        <f t="shared" si="1017" ref="AX494:BC494">AX352</f>
        <v>88</v>
      </c>
      <c r="AY494" s="265">
        <f t="shared" si="1017"/>
        <v>88</v>
      </c>
      <c r="AZ494" s="993">
        <f t="shared" si="1017"/>
        <v>351</v>
      </c>
      <c r="BA494" s="265">
        <f t="shared" si="1017"/>
        <v>88</v>
      </c>
      <c r="BB494" s="265">
        <f t="shared" si="1017"/>
        <v>92</v>
      </c>
      <c r="BC494" s="265">
        <f t="shared" si="1017"/>
        <v>98</v>
      </c>
      <c r="BD494" s="265">
        <f>BD352</f>
        <v>98</v>
      </c>
      <c r="BE494" s="993">
        <f>BE352</f>
        <v>376</v>
      </c>
      <c r="BF494" s="265">
        <f>BF352</f>
        <v>98</v>
      </c>
      <c r="BG494" s="265">
        <f>BG352</f>
        <v>98</v>
      </c>
      <c r="BH494" s="745">
        <f>BH352</f>
        <v>98</v>
      </c>
      <c r="BI494" s="210">
        <f>MAX(0,BI495*AVERAGE(BH484,BI484)*BI3/BJ3)</f>
        <v>96.92275409836067</v>
      </c>
      <c r="BJ494" s="994">
        <f>SUM(BF494,BG494,BH494,BI494)</f>
        <v>390.92275409836066</v>
      </c>
      <c r="BK494" s="210">
        <f>MAX(0,BK495*AVERAGE(BJ484,BK484)*BK3/BO3)</f>
        <v>95.075506849315062</v>
      </c>
      <c r="BL494" s="210">
        <f>MAX(0,BL495*AVERAGE(BK484,BL484)*BL3/BO3)</f>
        <v>96.131901369863016</v>
      </c>
      <c r="BM494" s="210">
        <f>MAX(0,BM495*AVERAGE(BL484,BM484)*BM3/BO3)</f>
        <v>97.18829589041097</v>
      </c>
      <c r="BN494" s="210">
        <f>MAX(0,BN495*AVERAGE(BM484,BN484)*BN3/BO3)</f>
        <v>97.18829589041097</v>
      </c>
      <c r="BO494" s="994">
        <f>SUM(BK494,BL494,BM494,BN494)</f>
        <v>385.58400000000006</v>
      </c>
      <c r="BP494" s="994">
        <f>MAX(0,BP495*AVERAGE(BO484,BP484))</f>
        <v>385.584</v>
      </c>
      <c r="BQ494" s="994">
        <f>MAX(0,BQ495*AVERAGE(BP484,BQ484))</f>
        <v>385.584</v>
      </c>
      <c r="BR494" s="994">
        <f>MAX(0,BR495*AVERAGE(BQ484,BR484))</f>
        <v>385.584</v>
      </c>
      <c r="BS494" s="265"/>
    </row>
    <row r="495" spans="1:71" s="28" customFormat="1" ht="15">
      <c r="A495" s="405" t="s">
        <v>526</v>
      </c>
      <c r="B495" s="459"/>
      <c r="C495" s="1018"/>
      <c r="D495" s="1021">
        <f>IFERROR(IF(D494/AVERAGE(C484,D484)&lt;0,"n/a",D494/AVERAGE(C484,D484)),"n/a")</f>
        <v>0.059065306743796619</v>
      </c>
      <c r="E495" s="1021">
        <f>IFERROR(IF(E494/AVERAGE(D484,E484)&lt;0,"n/a",E494/AVERAGE(D484,E484)),"n/a")</f>
        <v>0.058414043583535108</v>
      </c>
      <c r="F495" s="1021">
        <f>IFERROR(IF(F494/AVERAGE(E484,F484)&lt;0,"n/a",F494/AVERAGE(E484,F484)),"n/a")</f>
        <v>0.058355847163257431</v>
      </c>
      <c r="G495" s="1021">
        <f>IFERROR(IF(G494/AVERAGE(F484,G484)&lt;0,"n/a",G494/AVERAGE(F484,G484)),"n/a")</f>
        <v>0.056868304977945809</v>
      </c>
      <c r="H495" s="43">
        <f>IFERROR(IF(H494/AVERAGE(G484,H484)&lt;0,"n/a",H494/AVERAGE(G484,H484)*L3/H3),"n/a")</f>
        <v>0.058790059262760756</v>
      </c>
      <c r="I495" s="43">
        <f>IFERROR(IF(I494/AVERAGE(H484,I484)&lt;0,"n/a",I494/AVERAGE(H484,I484)*L3/I3),"n/a")</f>
        <v>0.058139434222623132</v>
      </c>
      <c r="J495" s="43">
        <f>IFERROR(IF(J494/AVERAGE(I484,J484)&lt;0,"n/a",J494/AVERAGE(I484,J484)*L3/J3),"n/a")</f>
        <v>0.058127986026679457</v>
      </c>
      <c r="K495" s="43">
        <f>IFERROR(IF(K494/AVERAGE(J484,K484)&lt;0,"n/a",K494/AVERAGE(J484,K484)*L3/K3),"n/a")</f>
        <v>0.057493896195951806</v>
      </c>
      <c r="L495" s="1021">
        <f>IFERROR(IF(L494/AVERAGE(H484,I484,J484,K484)&lt;0,"n/a",L494/AVERAGE(H484,I484,J484,K484)),"n/a")</f>
        <v>0.0581308337599937</v>
      </c>
      <c r="M495" s="43">
        <f>IFERROR(IF(M494/AVERAGE(L484,M484)&lt;0,"n/a",M494/AVERAGE(L484,M484)*Q3/M3),"n/a")</f>
        <v>0.058766909924572543</v>
      </c>
      <c r="N495" s="43">
        <f>IFERROR(IF(N494/AVERAGE(M484,N484)&lt;0,"n/a",N494/AVERAGE(M484,N484)*Q3/N3),"n/a")</f>
        <v>0.058116542879122608</v>
      </c>
      <c r="O495" s="43">
        <f>IFERROR(IF(O494/AVERAGE(N484,O484)&lt;0,"n/a",O494/AVERAGE(N484,O484)*Q3/O3),"n/a")</f>
        <v>0.056967048439424982</v>
      </c>
      <c r="P495" s="43">
        <f>IFERROR(IF(P494/AVERAGE(O484,P484)&lt;0,"n/a",P494/AVERAGE(O484,P484)*Q3/P3),"n/a")</f>
        <v>0.057599476413699627</v>
      </c>
      <c r="Q495" s="1021">
        <f>IFERROR(IF(Q494/AVERAGE(M484,N484,O484,P484)&lt;0,"n/a",Q494/AVERAGE(M484,N484,O484,P484)),"n/a")</f>
        <v>0.057860854727371444</v>
      </c>
      <c r="R495" s="43">
        <f>IFERROR(IF(R494/AVERAGE(Q484,R484)&lt;0,"n/a",R494/AVERAGE(Q484,R484)*V3/R3),"n/a")</f>
        <v>0.057692307692307696</v>
      </c>
      <c r="S495" s="43">
        <f>IFERROR(IF(S494/AVERAGE(R484,S484)&lt;0,"n/a",S494/AVERAGE(R484,S484)*V3/S3),"n/a")</f>
        <v>0.05853583036681629</v>
      </c>
      <c r="T495" s="43">
        <f>IFERROR(IF(T494/AVERAGE(S484,T484)&lt;0,"n/a",T494/AVERAGE(S484,T484)*V3/T3),"n/a")</f>
        <v>0.055013240738238711</v>
      </c>
      <c r="U495" s="43">
        <f>IFERROR(IF(U494/AVERAGE(T484,U484)&lt;0,"n/a",U494/AVERAGE(T484,U484)*V3/U3),"n/a")</f>
        <v>0.055627045484482177</v>
      </c>
      <c r="V495" s="1021">
        <f>IFERROR(IF(V494/AVERAGE(R484,S484,T484,U484)&lt;0,"n/a",V494/AVERAGE(R484,S484,T484,U484)),"n/a")</f>
        <v>0.056601567068179162</v>
      </c>
      <c r="W495" s="43">
        <f>IFERROR(IF(W494/AVERAGE(V484,W484)&lt;0,"n/a",W494/AVERAGE(V484,W484)*AA3/W3),"n/a")</f>
        <v>0.05606903991370011</v>
      </c>
      <c r="X495" s="43">
        <f>IFERROR(IF(X494/AVERAGE(W484,X484)&lt;0,"n/a",X494/AVERAGE(W484,X484)*AA3/X3),"n/a")</f>
        <v>0.055249436893395572</v>
      </c>
      <c r="Y495" s="43">
        <f>IFERROR(IF(Y494/AVERAGE(X484,Y484)&lt;0,"n/a",Y494/AVERAGE(X484,Y484)*AA3/Y3),"n/a")</f>
        <v>0.054461696974646846</v>
      </c>
      <c r="Z495" s="43">
        <f>IFERROR(IF(Z494/AVERAGE(Y484,Z484)&lt;0,"n/a",Z494/AVERAGE(Y484,Z484)*AA3/Z3),"n/a")</f>
        <v>0.054694247154513466</v>
      </c>
      <c r="AA495" s="1021">
        <f>IFERROR(IF(AA494/AVERAGE(W484,X484,Y484,Z484)&lt;0,"n/a",AA494/AVERAGE(W484,X484,Y484,Z484)),"n/a")</f>
        <v>0.054972067039106148</v>
      </c>
      <c r="AB495" s="43">
        <f>IFERROR(IF(AB494/AVERAGE(AA484,AB484)&lt;0,"n/a",AB494/AVERAGE(AA484,AB484)*AF3/AB3),"n/a")</f>
        <v>0.053338915981150356</v>
      </c>
      <c r="AC495" s="43">
        <f>IFERROR(IF(AC494/AVERAGE(AB484,AC484)&lt;0,"n/a",AC494/AVERAGE(AB484,AC484)*AF3/AC3),"n/a")</f>
        <v>0.053770613091384672</v>
      </c>
      <c r="AD495" s="43">
        <f>IFERROR(IF(AD494/AVERAGE(AC484,AD484)&lt;0,"n/a",AD494/AVERAGE(AC484,AD484)*AF3/AD3),"n/a")</f>
        <v>0.052378822869805497</v>
      </c>
      <c r="AE495" s="43">
        <f>IFERROR(IF(AE494/AVERAGE(AD484,AE484)&lt;0,"n/a",AE494/AVERAGE(AD484,AE484)*AF3/AE3),"n/a")</f>
        <v>0.052584254033860578</v>
      </c>
      <c r="AF495" s="1021">
        <f>IFERROR(IF(AF494/AVERAGE(AB484,AC484,AD484,AE484)&lt;0,"n/a",AF494/AVERAGE(AB484,AC484,AD484,AE484)),"n/a")</f>
        <v>0.053022029749576351</v>
      </c>
      <c r="AG495" s="43">
        <f>IFERROR(IF(AG494/AVERAGE(AF484,AG484)&lt;0,"n/a",AG494/AVERAGE(AF484,AG484)*AK3/AG3),"n/a")</f>
        <v>0.052402744128755431</v>
      </c>
      <c r="AH495" s="43">
        <f>IFERROR(IF(AH494/AVERAGE(AG484,AH484)&lt;0,"n/a",AH494/AVERAGE(AG484,AH484)*AK3/AH3),"n/a")</f>
        <v>0.05243893088182474</v>
      </c>
      <c r="AI495" s="43">
        <f>IFERROR(IF(AI494/AVERAGE(AH484,AI484)&lt;0,"n/a",AI494/AVERAGE(AH484,AI484)*AK3/AI3),"n/a")</f>
        <v>0.050817454950475356</v>
      </c>
      <c r="AJ495" s="43">
        <f>IFERROR(IF(AJ494/AVERAGE(AI484,AJ484)&lt;0,"n/a",AJ494/AVERAGE(AI484,AJ484)*AK3/AJ3),"n/a")</f>
        <v>0.050212485248683977</v>
      </c>
      <c r="AK495" s="1021">
        <f>IFERROR(IF(AK494/AVERAGE(AG484,AH484,AI484,AJ484)&lt;0,"n/a",AK494/AVERAGE(AG484,AH484,AI484,AJ484)),"n/a")</f>
        <v>0.05147581459728405</v>
      </c>
      <c r="AL495" s="43">
        <f>IFERROR(IF(AL494/AVERAGE(AK484,AL484)&lt;0,"n/a",AL494/AVERAGE(AK484,AL484)*AP3/AL3),"n/a")</f>
        <v>0.051512716908767832</v>
      </c>
      <c r="AM495" s="43">
        <f>IFERROR(IF(AM494/AVERAGE(AL484,AM484)&lt;0,"n/a",AM494/AVERAGE(AL484,AM484)*AP3/AM3),"n/a")</f>
        <v>0.050245169292788341</v>
      </c>
      <c r="AN495" s="43">
        <f>IFERROR(IF(AN494/AVERAGE(AM484,AN484)&lt;0,"n/a",AN494/AVERAGE(AM484,AN484)*AP3/AN3),"n/a")</f>
        <v>0.049096914058042965</v>
      </c>
      <c r="AO495" s="43">
        <f>IFERROR(IF(AO494/AVERAGE(AN484,AO484)&lt;0,"n/a",AO494/AVERAGE(AN484,AO484)*AP3/AO3),"n/a")</f>
        <v>0.048558184143222501</v>
      </c>
      <c r="AP495" s="1021">
        <f>IFERROR(IF(AP494/AVERAGE(AL484,AM484,AN484,AO484)&lt;0,"n/a",AP494/AVERAGE(AL484,AM484,AN484,AO484)),"n/a")</f>
        <v>0.049838282857982946</v>
      </c>
      <c r="AQ495" s="43">
        <f>IFERROR(IF(AQ494/AVERAGE(AP484,AQ484)&lt;0,"n/a",AQ494/AVERAGE(AP484,AQ484)*AU3/AQ3),"n/a")</f>
        <v>0.050771840542832909</v>
      </c>
      <c r="AR495" s="43">
        <f>IFERROR(IF(AR494/AVERAGE(AQ484,AR484)&lt;0,"n/a",AR494/AVERAGE(AQ484,AR484)*AU3/AR3),"n/a")</f>
        <v>0.048108683224290155</v>
      </c>
      <c r="AS495" s="43">
        <f>IFERROR(IF(AS494/AVERAGE(AR484,AS484)&lt;0,"n/a",AS494/AVERAGE(AR484,AS484)*AU3/AS3),"n/a")</f>
        <v>0.047347468241188052</v>
      </c>
      <c r="AT495" s="43">
        <f>IFERROR(IF(AT494/AVERAGE(AS484,AT484)&lt;0,"n/a",AT494/AVERAGE(AS484,AT484)*AU3/AT3),"n/a")</f>
        <v>0.047891692014075275</v>
      </c>
      <c r="AU495" s="1021">
        <f>IFERROR(IF(AU494/AVERAGE(AQ484,AR484,AS484,AT484)&lt;0,"n/a",AU494/AVERAGE(AQ484,AR484,AS484,AT484)),"n/a")</f>
        <v>0.04785362420830401</v>
      </c>
      <c r="AV495" s="43">
        <f>IFERROR(IF(AV494/AVERAGE(AU484,AV484)&lt;0,"n/a",AV494/AVERAGE(AU484,AV484)*AZ3/AV3),"n/a")</f>
        <v>0.048396314838945659</v>
      </c>
      <c r="AW495" s="43">
        <f>IFERROR(IF(AW494/AVERAGE(AV484,AW484)&lt;0,"n/a",AW494/AVERAGE(AV484,AW484)*AZ3/AW3),"n/a")</f>
        <v>0.048411333557404061</v>
      </c>
      <c r="AX495" s="43">
        <f>IFERROR(IF(AX494/AVERAGE(AW484,AX484)&lt;0,"n/a",AX494/AVERAGE(AW484,AX484)*AZ3/AX3),"n/a")</f>
        <v>0.047885123410040975</v>
      </c>
      <c r="AY495" s="43">
        <f>IFERROR(IF(AY494/AVERAGE(AX484,AY484)&lt;0,"n/a",AY494/AVERAGE(AX484,AY484)*AZ3/AY3),"n/a")</f>
        <v>0.047881839783667113</v>
      </c>
      <c r="AZ495" s="1021">
        <f>IFERROR(IF(AZ494/AVERAGE(AV484,AW484,AX484,AY484)&lt;0,"n/a",AZ494/AVERAGE(AV484,AW484,AX484,AY484)),"n/a")</f>
        <v>0.048139893708211895</v>
      </c>
      <c r="BA495" s="43">
        <f>IFERROR(IF(BA494/AVERAGE(AZ484,BA484)&lt;0,"n/a",BA494/AVERAGE(AZ484,BA484)*BE3/BA3),"n/a")</f>
        <v>0.048942524532211866</v>
      </c>
      <c r="BB495" s="43">
        <f>IFERROR(IF(BB494/AVERAGE(BA484,BB484)&lt;0,"n/a",BB494/AVERAGE(BA484,BB484)*BE3/BB3),"n/a")</f>
        <v>0.048164326699861516</v>
      </c>
      <c r="BC495" s="43">
        <f>IFERROR(IF(BC494/AVERAGE(BB484,BC484)&lt;0,"n/a",BC494/AVERAGE(BB484,BC484)*BE3/BC3),"n/a")</f>
        <v>0.048412943322884691</v>
      </c>
      <c r="BD495" s="43">
        <f>IFERROR(IF(BD494/AVERAGE(BC484,BD484)&lt;0,"n/a",BD494/AVERAGE(BC484,BD484)*BE3/BD3),"n/a")</f>
        <v>0.048412943322884691</v>
      </c>
      <c r="BE495" s="1021">
        <f>IFERROR(IF(BE494/AVERAGE(BA484,BB484,BC484,BD484)&lt;0,"n/a",BE494/AVERAGE(BA484,BB484,BC484,BD484)),"n/a")</f>
        <v>0.047920981360522544</v>
      </c>
      <c r="BF495" s="43">
        <f>IFERROR(IF(BF494/AVERAGE(BE484,BF484)&lt;0,"n/a",BF494/AVERAGE(BE484,BF484)*BJ3/BF3),"n/a")</f>
        <v>0.049075994042687691</v>
      </c>
      <c r="BG495" s="43">
        <f>IFERROR(IF(BG494/AVERAGE(BF484,BG484)&lt;0,"n/a",BG494/AVERAGE(BF484,BG484)*BJ3/BG3),"n/a")</f>
        <v>0.049072939013178059</v>
      </c>
      <c r="BH495" s="758">
        <f>IFERROR(IF(BH494/AVERAGE(BG484,BH484)&lt;0,"n/a",BH494/AVERAGE(BG484,BH484)*BJ3/BH3),"n/a")</f>
        <v>0.048536516055697643</v>
      </c>
      <c r="BI495" s="949">
        <v>0.048000000000000001</v>
      </c>
      <c r="BJ495" s="1018">
        <f>IFERROR(IF(BJ494/AVERAGE(BF484,BG484,BH484,BI484)&lt;0,"n/a",BJ494/AVERAGE(BF484,BG484,BH484,BI484)),"n/a")</f>
        <v>0.048667632007265565</v>
      </c>
      <c r="BK495" s="949">
        <v>0.048000000000000001</v>
      </c>
      <c r="BL495" s="949">
        <v>0.048000000000000001</v>
      </c>
      <c r="BM495" s="949">
        <v>0.048000000000000001</v>
      </c>
      <c r="BN495" s="949">
        <v>0.048000000000000001</v>
      </c>
      <c r="BO495" s="1018">
        <f>IFERROR(IF(BO494/AVERAGE(BK484,BL484,BM484,BN484)&lt;0,"n/a",BO494/AVERAGE(BK484,BL484,BM484,BN484)),"n/a")</f>
        <v>0.048000000000000008</v>
      </c>
      <c r="BP495" s="1061">
        <v>0.048000000000000001</v>
      </c>
      <c r="BQ495" s="1061">
        <v>0.048000000000000001</v>
      </c>
      <c r="BR495" s="1061">
        <v>0.048000000000000001</v>
      </c>
      <c r="BS495" s="43"/>
    </row>
    <row r="496" spans="1:71" ht="15">
      <c r="A496" s="501"/>
      <c r="B496" s="501"/>
      <c r="C496" s="1089"/>
      <c r="D496" s="1089"/>
      <c r="E496" s="1089"/>
      <c r="F496" s="1089"/>
      <c r="G496" s="1089"/>
      <c r="H496" s="432"/>
      <c r="I496" s="432"/>
      <c r="J496" s="432"/>
      <c r="K496" s="432"/>
      <c r="L496" s="1089"/>
      <c r="M496" s="432"/>
      <c r="N496" s="432"/>
      <c r="O496" s="432"/>
      <c r="P496" s="432"/>
      <c r="Q496" s="1089"/>
      <c r="R496" s="432"/>
      <c r="S496" s="432"/>
      <c r="T496" s="432"/>
      <c r="U496" s="432"/>
      <c r="V496" s="1089"/>
      <c r="W496" s="432"/>
      <c r="X496" s="432"/>
      <c r="Y496" s="432"/>
      <c r="Z496" s="432"/>
      <c r="AA496" s="1089"/>
      <c r="AB496" s="432"/>
      <c r="AC496" s="432"/>
      <c r="AD496" s="432"/>
      <c r="AE496" s="432"/>
      <c r="AF496" s="1089"/>
      <c r="AG496" s="432"/>
      <c r="AH496" s="432"/>
      <c r="AI496" s="432"/>
      <c r="AJ496" s="432"/>
      <c r="AK496" s="1089"/>
      <c r="AL496" s="432"/>
      <c r="AM496" s="432"/>
      <c r="AN496" s="432"/>
      <c r="AO496" s="432"/>
      <c r="AP496" s="1089"/>
      <c r="AQ496" s="432"/>
      <c r="AR496" s="432"/>
      <c r="AS496" s="432"/>
      <c r="AT496" s="432"/>
      <c r="AU496" s="1089"/>
      <c r="AV496" s="432"/>
      <c r="AW496" s="432"/>
      <c r="AX496" s="432"/>
      <c r="AY496" s="432"/>
      <c r="AZ496" s="1089"/>
      <c r="BA496" s="432"/>
      <c r="BB496" s="432"/>
      <c r="BC496" s="432"/>
      <c r="BD496" s="432"/>
      <c r="BE496" s="1089"/>
      <c r="BF496" s="432"/>
      <c r="BG496" s="432"/>
      <c r="BH496" s="552"/>
      <c r="BI496" s="432"/>
      <c r="BJ496" s="1089"/>
      <c r="BK496" s="432"/>
      <c r="BL496" s="432"/>
      <c r="BM496" s="432"/>
      <c r="BN496" s="432"/>
      <c r="BO496" s="1089"/>
      <c r="BP496" s="1089"/>
      <c r="BQ496" s="1089"/>
      <c r="BR496" s="1089"/>
      <c r="BS496" s="262"/>
    </row>
    <row r="497" spans="1:71" s="181" customFormat="1" ht="15">
      <c r="A497" s="826" t="s">
        <v>182</v>
      </c>
      <c r="B497" s="826"/>
      <c r="C497" s="847"/>
      <c r="D497" s="847"/>
      <c r="E497" s="847"/>
      <c r="F497" s="847"/>
      <c r="G497" s="847"/>
      <c r="H497" s="847"/>
      <c r="I497" s="847"/>
      <c r="J497" s="847"/>
      <c r="K497" s="847"/>
      <c r="L497" s="847"/>
      <c r="M497" s="847"/>
      <c r="N497" s="847"/>
      <c r="O497" s="847"/>
      <c r="P497" s="847"/>
      <c r="Q497" s="847"/>
      <c r="R497" s="847"/>
      <c r="S497" s="847"/>
      <c r="T497" s="847"/>
      <c r="U497" s="847"/>
      <c r="V497" s="847"/>
      <c r="W497" s="847"/>
      <c r="X497" s="847"/>
      <c r="Y497" s="847"/>
      <c r="Z497" s="847"/>
      <c r="AA497" s="847"/>
      <c r="AB497" s="847"/>
      <c r="AC497" s="847"/>
      <c r="AD497" s="847"/>
      <c r="AE497" s="847"/>
      <c r="AF497" s="847"/>
      <c r="AG497" s="847"/>
      <c r="AH497" s="847"/>
      <c r="AI497" s="847"/>
      <c r="AJ497" s="847"/>
      <c r="AK497" s="847"/>
      <c r="AL497" s="847"/>
      <c r="AM497" s="847"/>
      <c r="AN497" s="847"/>
      <c r="AO497" s="847"/>
      <c r="AP497" s="847"/>
      <c r="AQ497" s="847"/>
      <c r="AR497" s="847"/>
      <c r="AS497" s="847"/>
      <c r="AT497" s="847"/>
      <c r="AU497" s="847"/>
      <c r="AV497" s="847"/>
      <c r="AW497" s="847"/>
      <c r="AX497" s="847"/>
      <c r="AY497" s="847"/>
      <c r="AZ497" s="847"/>
      <c r="BA497" s="847"/>
      <c r="BB497" s="847"/>
      <c r="BC497" s="847"/>
      <c r="BD497" s="847"/>
      <c r="BE497" s="847"/>
      <c r="BF497" s="847"/>
      <c r="BG497" s="847"/>
      <c r="BH497" s="848"/>
      <c r="BI497" s="847"/>
      <c r="BJ497" s="847"/>
      <c r="BK497" s="847"/>
      <c r="BL497" s="847"/>
      <c r="BM497" s="847"/>
      <c r="BN497" s="847"/>
      <c r="BO497" s="847"/>
      <c r="BP497" s="847"/>
      <c r="BQ497" s="847"/>
      <c r="BR497" s="847"/>
      <c r="BS497" s="423"/>
    </row>
    <row r="498" spans="1:71" s="24" customFormat="1" ht="15" hidden="1" outlineLevel="1">
      <c r="A498" s="833" t="s">
        <v>183</v>
      </c>
      <c r="B498" s="462"/>
      <c r="C498" s="1032">
        <v>23195</v>
      </c>
      <c r="D498" s="1032">
        <v>20066</v>
      </c>
      <c r="E498" s="1032">
        <v>19174</v>
      </c>
      <c r="F498" s="1032">
        <v>20048</v>
      </c>
      <c r="G498" s="1032">
        <v>21123</v>
      </c>
      <c r="H498" s="924">
        <v>21440</v>
      </c>
      <c r="I498" s="924">
        <v>21036</v>
      </c>
      <c r="J498" s="924">
        <v>21005</v>
      </c>
      <c r="K498" s="265">
        <f>L498</f>
        <v>21049</v>
      </c>
      <c r="L498" s="1032">
        <v>21049</v>
      </c>
      <c r="M498" s="924">
        <v>20944</v>
      </c>
      <c r="N498" s="924">
        <v>20851</v>
      </c>
      <c r="O498" s="924">
        <v>20822</v>
      </c>
      <c r="P498" s="265">
        <f>Q498</f>
        <v>20567</v>
      </c>
      <c r="Q498" s="1032">
        <v>20567</v>
      </c>
      <c r="R498" s="924">
        <v>20569</v>
      </c>
      <c r="S498" s="924">
        <v>20634</v>
      </c>
      <c r="T498" s="924">
        <v>20609</v>
      </c>
      <c r="U498" s="265">
        <f>V498</f>
        <v>20759</v>
      </c>
      <c r="V498" s="1032">
        <v>20759</v>
      </c>
      <c r="W498" s="924">
        <v>20617</v>
      </c>
      <c r="X498" s="924">
        <v>20607</v>
      </c>
      <c r="Y498" s="924">
        <v>20740</v>
      </c>
      <c r="Z498" s="265">
        <f>AA498</f>
        <v>20448</v>
      </c>
      <c r="AA498" s="1032">
        <v>20448</v>
      </c>
      <c r="AB498" s="924">
        <v>20533</v>
      </c>
      <c r="AC498" s="924">
        <v>20371</v>
      </c>
      <c r="AD498" s="924">
        <v>20462</v>
      </c>
      <c r="AE498" s="265">
        <f>AF498</f>
        <v>20774</v>
      </c>
      <c r="AF498" s="1032">
        <v>20774</v>
      </c>
      <c r="AG498" s="924">
        <v>21074</v>
      </c>
      <c r="AH498" s="924">
        <v>21080</v>
      </c>
      <c r="AI498" s="924">
        <v>20780</v>
      </c>
      <c r="AJ498" s="265">
        <f>AK498</f>
        <v>21330</v>
      </c>
      <c r="AK498" s="1032">
        <v>21330</v>
      </c>
      <c r="AL498" s="924">
        <v>20808</v>
      </c>
      <c r="AM498" s="924">
        <v>20607</v>
      </c>
      <c r="AN498" s="924">
        <v>21230</v>
      </c>
      <c r="AO498" s="265">
        <f>AP498</f>
        <v>22180</v>
      </c>
      <c r="AP498" s="1032">
        <v>22180</v>
      </c>
      <c r="AQ498" s="924">
        <v>22403</v>
      </c>
      <c r="AR498" s="924">
        <v>22797</v>
      </c>
      <c r="AS498" s="924">
        <v>22987</v>
      </c>
      <c r="AT498" s="265">
        <f>AU498</f>
        <v>23906</v>
      </c>
      <c r="AU498" s="1032">
        <v>23906</v>
      </c>
      <c r="AV498" s="924">
        <v>24168</v>
      </c>
      <c r="AW498" s="924">
        <v>23776</v>
      </c>
      <c r="AX498" s="924">
        <v>23375</v>
      </c>
      <c r="AY498" s="265">
        <f>AZ498</f>
        <v>23677</v>
      </c>
      <c r="AZ498" s="1032">
        <v>23677</v>
      </c>
      <c r="BA498" s="924">
        <v>23689</v>
      </c>
      <c r="BB498" s="924">
        <v>22934</v>
      </c>
      <c r="BC498" s="924">
        <v>23267</v>
      </c>
      <c r="BD498" s="265">
        <f>BE498</f>
        <v>25114</v>
      </c>
      <c r="BE498" s="1032">
        <v>25114</v>
      </c>
      <c r="BF498" s="924">
        <v>25329</v>
      </c>
      <c r="BG498" s="924">
        <v>25210</v>
      </c>
      <c r="BH498" s="925">
        <v>26191</v>
      </c>
      <c r="BI498" s="210"/>
      <c r="BJ498" s="994"/>
      <c r="BK498" s="210"/>
      <c r="BL498" s="210"/>
      <c r="BM498" s="210"/>
      <c r="BN498" s="210"/>
      <c r="BO498" s="994"/>
      <c r="BP498" s="994"/>
      <c r="BQ498" s="994"/>
      <c r="BR498" s="994"/>
      <c r="BS498" s="833"/>
    </row>
    <row r="499" spans="1:71" s="24" customFormat="1" ht="15" hidden="1" outlineLevel="1">
      <c r="A499" s="833" t="s">
        <v>184</v>
      </c>
      <c r="B499" s="462"/>
      <c r="C499" s="1032">
        <v>3900</v>
      </c>
      <c r="D499" s="1032">
        <v>3690</v>
      </c>
      <c r="E499" s="1032">
        <v>1500</v>
      </c>
      <c r="F499" s="1032">
        <v>2840</v>
      </c>
      <c r="G499" s="1032">
        <v>4180</v>
      </c>
      <c r="H499" s="210"/>
      <c r="I499" s="210"/>
      <c r="J499" s="210"/>
      <c r="K499" s="210"/>
      <c r="L499" s="1032">
        <v>3970</v>
      </c>
      <c r="M499" s="210"/>
      <c r="N499" s="210"/>
      <c r="O499" s="210"/>
      <c r="P499" s="210"/>
      <c r="Q499" s="1032">
        <v>3800</v>
      </c>
      <c r="R499" s="210"/>
      <c r="S499" s="210"/>
      <c r="T499" s="210"/>
      <c r="U499" s="210"/>
      <c r="V499" s="1032">
        <v>3200</v>
      </c>
      <c r="W499" s="210"/>
      <c r="X499" s="210"/>
      <c r="Y499" s="210"/>
      <c r="Z499" s="210"/>
      <c r="AA499" s="1032">
        <v>2300</v>
      </c>
      <c r="AB499" s="210"/>
      <c r="AC499" s="210"/>
      <c r="AD499" s="210"/>
      <c r="AE499" s="210"/>
      <c r="AF499" s="1032">
        <v>2610</v>
      </c>
      <c r="AG499" s="210"/>
      <c r="AH499" s="210"/>
      <c r="AI499" s="210"/>
      <c r="AJ499" s="210"/>
      <c r="AK499" s="1032">
        <v>2740</v>
      </c>
      <c r="AL499" s="210"/>
      <c r="AM499" s="210"/>
      <c r="AN499" s="210"/>
      <c r="AO499" s="210"/>
      <c r="AP499" s="1032">
        <v>2980</v>
      </c>
      <c r="AQ499" s="210"/>
      <c r="AR499" s="210"/>
      <c r="AS499" s="210"/>
      <c r="AT499" s="210"/>
      <c r="AU499" s="1032">
        <v>3410</v>
      </c>
      <c r="AV499" s="210"/>
      <c r="AW499" s="210"/>
      <c r="AX499" s="210"/>
      <c r="AY499" s="210"/>
      <c r="AZ499" s="1032">
        <v>2620</v>
      </c>
      <c r="BA499" s="210"/>
      <c r="BB499" s="210"/>
      <c r="BC499" s="210"/>
      <c r="BD499" s="210"/>
      <c r="BE499" s="1032">
        <v>2850</v>
      </c>
      <c r="BF499" s="210"/>
      <c r="BG499" s="210"/>
      <c r="BH499" s="553"/>
      <c r="BI499" s="210"/>
      <c r="BJ499" s="994"/>
      <c r="BK499" s="210"/>
      <c r="BL499" s="210"/>
      <c r="BM499" s="210"/>
      <c r="BN499" s="210"/>
      <c r="BO499" s="994"/>
      <c r="BP499" s="994"/>
      <c r="BQ499" s="994"/>
      <c r="BR499" s="994"/>
      <c r="BS499" s="833"/>
    </row>
    <row r="500" spans="1:71" s="24" customFormat="1" ht="15" collapsed="1">
      <c r="A500" s="828"/>
      <c r="B500" s="462"/>
      <c r="C500" s="1011"/>
      <c r="D500" s="1011"/>
      <c r="E500" s="1011"/>
      <c r="F500" s="1011"/>
      <c r="G500" s="1011"/>
      <c r="H500" s="857"/>
      <c r="I500" s="857"/>
      <c r="J500" s="857"/>
      <c r="K500" s="857"/>
      <c r="L500" s="1011"/>
      <c r="M500" s="857"/>
      <c r="N500" s="857"/>
      <c r="O500" s="857"/>
      <c r="P500" s="857"/>
      <c r="Q500" s="1011"/>
      <c r="R500" s="857"/>
      <c r="S500" s="857"/>
      <c r="T500" s="857"/>
      <c r="U500" s="857"/>
      <c r="V500" s="1011"/>
      <c r="W500" s="857"/>
      <c r="X500" s="857"/>
      <c r="Y500" s="857"/>
      <c r="Z500" s="857"/>
      <c r="AA500" s="1011"/>
      <c r="AB500" s="857"/>
      <c r="AC500" s="857"/>
      <c r="AD500" s="857"/>
      <c r="AE500" s="857"/>
      <c r="AF500" s="1011"/>
      <c r="AG500" s="857"/>
      <c r="AH500" s="857"/>
      <c r="AI500" s="857"/>
      <c r="AJ500" s="857"/>
      <c r="AK500" s="1011"/>
      <c r="AL500" s="857"/>
      <c r="AM500" s="857"/>
      <c r="AN500" s="857"/>
      <c r="AO500" s="857"/>
      <c r="AP500" s="1011"/>
      <c r="AQ500" s="857"/>
      <c r="AR500" s="857"/>
      <c r="AS500" s="857"/>
      <c r="AT500" s="857"/>
      <c r="AU500" s="1011"/>
      <c r="AV500" s="857"/>
      <c r="AW500" s="857"/>
      <c r="AX500" s="857"/>
      <c r="AY500" s="857"/>
      <c r="AZ500" s="1011"/>
      <c r="BA500" s="857"/>
      <c r="BB500" s="857"/>
      <c r="BC500" s="857"/>
      <c r="BD500" s="857"/>
      <c r="BE500" s="1011"/>
      <c r="BF500" s="857"/>
      <c r="BG500" s="857"/>
      <c r="BH500" s="858"/>
      <c r="BI500" s="857"/>
      <c r="BJ500" s="1011"/>
      <c r="BK500" s="857"/>
      <c r="BL500" s="857"/>
      <c r="BM500" s="857"/>
      <c r="BN500" s="857"/>
      <c r="BO500" s="1011"/>
      <c r="BP500" s="1011"/>
      <c r="BQ500" s="1011"/>
      <c r="BR500" s="1011"/>
      <c r="BS500" s="833"/>
    </row>
    <row r="501" spans="1:71" s="181" customFormat="1" ht="15">
      <c r="A501" s="826" t="s">
        <v>185</v>
      </c>
      <c r="B501" s="826"/>
      <c r="C501" s="847"/>
      <c r="D501" s="847"/>
      <c r="E501" s="847"/>
      <c r="F501" s="847"/>
      <c r="G501" s="847"/>
      <c r="H501" s="847"/>
      <c r="I501" s="847"/>
      <c r="J501" s="847"/>
      <c r="K501" s="847"/>
      <c r="L501" s="847"/>
      <c r="M501" s="847"/>
      <c r="N501" s="847"/>
      <c r="O501" s="847"/>
      <c r="P501" s="847"/>
      <c r="Q501" s="847"/>
      <c r="R501" s="847"/>
      <c r="S501" s="847"/>
      <c r="T501" s="847"/>
      <c r="U501" s="847"/>
      <c r="V501" s="847"/>
      <c r="W501" s="847"/>
      <c r="X501" s="847"/>
      <c r="Y501" s="847"/>
      <c r="Z501" s="847"/>
      <c r="AA501" s="847"/>
      <c r="AB501" s="847"/>
      <c r="AC501" s="847"/>
      <c r="AD501" s="847"/>
      <c r="AE501" s="847"/>
      <c r="AF501" s="847"/>
      <c r="AG501" s="847"/>
      <c r="AH501" s="847"/>
      <c r="AI501" s="847"/>
      <c r="AJ501" s="847"/>
      <c r="AK501" s="847"/>
      <c r="AL501" s="847"/>
      <c r="AM501" s="847"/>
      <c r="AN501" s="847"/>
      <c r="AO501" s="847"/>
      <c r="AP501" s="847"/>
      <c r="AQ501" s="847"/>
      <c r="AR501" s="847"/>
      <c r="AS501" s="847"/>
      <c r="AT501" s="847"/>
      <c r="AU501" s="847"/>
      <c r="AV501" s="847"/>
      <c r="AW501" s="847"/>
      <c r="AX501" s="847"/>
      <c r="AY501" s="847"/>
      <c r="AZ501" s="847"/>
      <c r="BA501" s="847"/>
      <c r="BB501" s="847"/>
      <c r="BC501" s="847"/>
      <c r="BD501" s="847"/>
      <c r="BE501" s="847"/>
      <c r="BF501" s="847"/>
      <c r="BG501" s="847"/>
      <c r="BH501" s="848"/>
      <c r="BI501" s="847"/>
      <c r="BJ501" s="847"/>
      <c r="BK501" s="847"/>
      <c r="BL501" s="847"/>
      <c r="BM501" s="847"/>
      <c r="BN501" s="847"/>
      <c r="BO501" s="847"/>
      <c r="BP501" s="847"/>
      <c r="BQ501" s="847"/>
      <c r="BR501" s="847"/>
      <c r="BS501" s="423"/>
    </row>
    <row r="502" spans="1:71" s="32" customFormat="1" ht="15">
      <c r="A502" s="633" t="str">
        <f>"Stock Price (Reporting Cur.) - "&amp;MO.ValuationToggle&amp;", "&amp;MO.ReportCurrency</f>
        <v>Stock Price (Reporting Cur.) - EoP, USD</v>
      </c>
      <c r="B502" s="961" t="s">
        <v>609</v>
      </c>
      <c r="C502" s="1090">
        <f t="shared" si="1018" ref="C502:AH502">IF(MO.ValuationToggle="EoP",INDEX(MO_VA_StockPrice_TradingCurrency,1,COLUMN())/INDEX(MO_VA_FX_EoP,1,COLUMN()),INDEX(MO_VA_StockPrice_TradingCurrency,1,COLUMN())/INDEX(MO_VA_FX_Average,1,COLUMN()))</f>
        <v>50.26</v>
      </c>
      <c r="D502" s="1090">
        <f t="shared" si="1018"/>
        <v>55.54</v>
      </c>
      <c r="E502" s="1090">
        <f t="shared" si="1018"/>
        <v>59.17</v>
      </c>
      <c r="F502" s="1090">
        <f t="shared" si="1018"/>
        <v>71.239999999999995</v>
      </c>
      <c r="G502" s="1090">
        <f t="shared" si="1018"/>
        <v>90.28</v>
      </c>
      <c r="H502" s="420">
        <f t="shared" si="1018"/>
        <v>83.99</v>
      </c>
      <c r="I502" s="420">
        <f t="shared" si="1018"/>
        <v>93.92</v>
      </c>
      <c r="J502" s="420">
        <f t="shared" si="1018"/>
        <v>93.77</v>
      </c>
      <c r="K502" s="420">
        <f t="shared" si="1018"/>
        <v>106.93000000000001</v>
      </c>
      <c r="L502" s="1090">
        <f t="shared" si="1018"/>
        <v>106.93000000000001</v>
      </c>
      <c r="M502" s="420">
        <f t="shared" si="1018"/>
        <v>109.64</v>
      </c>
      <c r="N502" s="420">
        <f t="shared" si="1018"/>
        <v>96.14</v>
      </c>
      <c r="O502" s="420">
        <f t="shared" si="1018"/>
        <v>99.47</v>
      </c>
      <c r="P502" s="420">
        <f t="shared" si="1018"/>
        <v>114.29000000000001</v>
      </c>
      <c r="Q502" s="1090">
        <f t="shared" si="1018"/>
        <v>114.29000000000001</v>
      </c>
      <c r="R502" s="420">
        <f t="shared" si="1018"/>
        <v>117.43000000000001</v>
      </c>
      <c r="S502" s="420">
        <f t="shared" si="1018"/>
        <v>116.81</v>
      </c>
      <c r="T502" s="420">
        <f t="shared" si="1018"/>
        <v>113.87</v>
      </c>
      <c r="U502" s="420">
        <f t="shared" si="1018"/>
        <v>122.42</v>
      </c>
      <c r="V502" s="1090">
        <f t="shared" si="1018"/>
        <v>122.42</v>
      </c>
      <c r="W502" s="420">
        <f t="shared" si="1018"/>
        <v>121.03</v>
      </c>
      <c r="X502" s="420">
        <f t="shared" si="1018"/>
        <v>126.39</v>
      </c>
      <c r="Y502" s="420">
        <f t="shared" si="1018"/>
        <v>122.52</v>
      </c>
      <c r="Z502" s="420">
        <f t="shared" si="1018"/>
        <v>135.63999999999999</v>
      </c>
      <c r="AA502" s="1074">
        <f t="shared" si="1018"/>
        <v>135.63999999999999</v>
      </c>
      <c r="AB502" s="420">
        <f t="shared" si="1018"/>
        <v>138.86000000000001</v>
      </c>
      <c r="AC502" s="420">
        <f t="shared" si="1018"/>
        <v>122.34</v>
      </c>
      <c r="AD502" s="420">
        <f t="shared" si="1018"/>
        <v>129.71000000000001</v>
      </c>
      <c r="AE502" s="420">
        <f t="shared" si="1018"/>
        <v>118.23999999999999</v>
      </c>
      <c r="AF502" s="1074">
        <f t="shared" si="1018"/>
        <v>118.23999999999999</v>
      </c>
      <c r="AG502" s="420">
        <f t="shared" si="1018"/>
        <v>137.16</v>
      </c>
      <c r="AH502" s="420">
        <f t="shared" si="1018"/>
        <v>149.52000000000001</v>
      </c>
      <c r="AI502" s="420">
        <f t="shared" si="1019" ref="AI502:BJ502">IF(MO.ValuationToggle="EoP",INDEX(MO_VA_StockPrice_TradingCurrency,1,COLUMN())/INDEX(MO_VA_FX_EoP,1,COLUMN()),INDEX(MO_VA_StockPrice_TradingCurrency,1,COLUMN())/INDEX(MO_VA_FX_Average,1,COLUMN()))</f>
        <v>148</v>
      </c>
      <c r="AJ502" s="420">
        <f t="shared" si="1019"/>
        <v>136.49000000000001</v>
      </c>
      <c r="AK502" s="1074">
        <f t="shared" si="1019"/>
        <v>136.49000000000001</v>
      </c>
      <c r="AL502" s="420">
        <f t="shared" si="1019"/>
        <v>102.59</v>
      </c>
      <c r="AM502" s="420">
        <f t="shared" si="1019"/>
        <v>112.90000000000001</v>
      </c>
      <c r="AN502" s="420">
        <f t="shared" si="1019"/>
        <v>107.44</v>
      </c>
      <c r="AO502" s="420">
        <f t="shared" si="1019"/>
        <v>139.08000000000001</v>
      </c>
      <c r="AP502" s="1074">
        <f t="shared" si="1019"/>
        <v>139.08000000000001</v>
      </c>
      <c r="AQ502" s="420">
        <f t="shared" si="1019"/>
        <v>154.03</v>
      </c>
      <c r="AR502" s="420">
        <f t="shared" si="1019"/>
        <v>149.52000000000001</v>
      </c>
      <c r="AS502" s="420">
        <f t="shared" si="1019"/>
        <v>154.88</v>
      </c>
      <c r="AT502" s="420">
        <f t="shared" si="1019"/>
        <v>156.81</v>
      </c>
      <c r="AU502" s="1074">
        <f t="shared" si="1019"/>
        <v>156.81</v>
      </c>
      <c r="AV502" s="420">
        <f t="shared" si="1019"/>
        <v>185.55</v>
      </c>
      <c r="AW502" s="420">
        <f t="shared" si="1019"/>
        <v>165.80</v>
      </c>
      <c r="AX502" s="420">
        <f t="shared" si="1019"/>
        <v>154.68000000000001</v>
      </c>
      <c r="AY502" s="420">
        <f t="shared" si="1019"/>
        <v>187.49</v>
      </c>
      <c r="AZ502" s="1074">
        <f t="shared" si="1019"/>
        <v>187.49</v>
      </c>
      <c r="BA502" s="420">
        <f t="shared" si="1019"/>
        <v>170.82</v>
      </c>
      <c r="BB502" s="420">
        <f t="shared" si="1019"/>
        <v>170.99</v>
      </c>
      <c r="BC502" s="420">
        <f t="shared" si="1019"/>
        <v>163.31</v>
      </c>
      <c r="BD502" s="420">
        <f t="shared" si="1020" ref="BD502:BI502">IF(MO.ValuationToggle="EoP",INDEX(MO_VA_StockPrice_TradingCurrency,1,COLUMN())/INDEX(MO_VA_FX_EoP,1,COLUMN()),INDEX(MO_VA_StockPrice_TradingCurrency,1,COLUMN())/INDEX(MO_VA_FX_Average,1,COLUMN()))</f>
        <v>190.49</v>
      </c>
      <c r="BE502" s="1074">
        <f t="shared" si="1020"/>
        <v>190.49</v>
      </c>
      <c r="BF502" s="420">
        <f>IF(MO.ValuationToggle="EoP",INDEX(MO_VA_StockPrice_TradingCurrency,1,COLUMN())/INDEX(MO_VA_FX_EoP,1,COLUMN()),INDEX(MO_VA_StockPrice_TradingCurrency,1,COLUMN())/INDEX(MO_VA_FX_Average,1,COLUMN()))</f>
        <v>230.14</v>
      </c>
      <c r="BG502" s="420">
        <f>IF(MO.ValuationToggle="EoP",INDEX(MO_VA_StockPrice_TradingCurrency,1,COLUMN())/INDEX(MO_VA_FX_EoP,1,COLUMN()),INDEX(MO_VA_StockPrice_TradingCurrency,1,COLUMN())/INDEX(MO_VA_FX_Average,1,COLUMN()))</f>
        <v>203.34</v>
      </c>
      <c r="BH502" s="777">
        <f>IF(MO.ValuationToggle="EoP",INDEX(MO_VA_StockPrice_TradingCurrency,1,COLUMN())/INDEX(MO_VA_FX_EoP,1,COLUMN()),INDEX(MO_VA_StockPrice_TradingCurrency,1,COLUMN())/INDEX(MO_VA_FX_Average,1,COLUMN()))</f>
        <v>236.11</v>
      </c>
      <c r="BI502" s="651">
        <f t="shared" ca="1" si="1020"/>
        <v>242.95</v>
      </c>
      <c r="BJ502" s="1048">
        <f t="shared" ca="1" si="1019"/>
        <v>242.95</v>
      </c>
      <c r="BK502" s="651">
        <f ca="1" t="shared" si="1021" ref="BK502:BR502">IF(MO.ValuationToggle="EoP",INDEX(MO_VA_StockPrice_TradingCurrency,1,COLUMN())/INDEX(MO_VA_FX_EoP,1,COLUMN()),INDEX(MO_VA_StockPrice_TradingCurrency,1,COLUMN())/INDEX(MO_VA_FX_Average,1,COLUMN()))</f>
        <v>242.95</v>
      </c>
      <c r="BL502" s="651">
        <f t="shared" ca="1" si="1021"/>
        <v>242.95</v>
      </c>
      <c r="BM502" s="651">
        <f t="shared" ca="1" si="1021"/>
        <v>242.95</v>
      </c>
      <c r="BN502" s="651">
        <f t="shared" ca="1" si="1021"/>
        <v>242.95</v>
      </c>
      <c r="BO502" s="1048">
        <f t="shared" ca="1" si="1021"/>
        <v>242.95</v>
      </c>
      <c r="BP502" s="1048">
        <f t="shared" ca="1" si="1021"/>
        <v>242.95</v>
      </c>
      <c r="BQ502" s="1048">
        <f t="shared" ca="1" si="1021"/>
        <v>242.95</v>
      </c>
      <c r="BR502" s="1048">
        <f t="shared" ca="1" si="1021"/>
        <v>242.95</v>
      </c>
      <c r="BS502" s="300"/>
    </row>
    <row r="503" spans="1:71" s="24" customFormat="1" ht="15">
      <c r="A503" s="833" t="str">
        <f>"Market Cap - "&amp;MO.ValuationToggle</f>
        <v>Market Cap - EoP</v>
      </c>
      <c r="B503" s="462"/>
      <c r="C503" s="993">
        <f t="shared" si="1022" ref="C503:AH503">INDEX(MO_VA_StockPrice,0,COLUMN())*INDEX(MO_SCA_ShareCount_EoP_Diluted,0,COLUMN())</f>
        <v>26421.681999999997</v>
      </c>
      <c r="D503" s="993">
        <f t="shared" si="1022"/>
        <v>24470.923999999999</v>
      </c>
      <c r="E503" s="993">
        <f t="shared" si="1022"/>
        <v>23520.075000000001</v>
      </c>
      <c r="F503" s="993">
        <f t="shared" si="1022"/>
        <v>27142.439999999999</v>
      </c>
      <c r="G503" s="993">
        <f t="shared" si="1022"/>
        <v>32275.100000000002</v>
      </c>
      <c r="H503" s="265">
        <f t="shared" si="1022"/>
        <v>29497.288</v>
      </c>
      <c r="I503" s="265">
        <f t="shared" si="1022"/>
        <v>32186.383999999998</v>
      </c>
      <c r="J503" s="265">
        <f t="shared" si="1022"/>
        <v>31431.703999999991</v>
      </c>
      <c r="K503" s="265">
        <f t="shared" si="1022"/>
        <v>34901.951999999997</v>
      </c>
      <c r="L503" s="993">
        <f t="shared" si="1022"/>
        <v>34901.951999999997</v>
      </c>
      <c r="M503" s="265">
        <f t="shared" si="1022"/>
        <v>35347.935999999994</v>
      </c>
      <c r="N503" s="265">
        <f t="shared" si="1022"/>
        <v>30226.415999999997</v>
      </c>
      <c r="O503" s="265">
        <f t="shared" si="1022"/>
        <v>30596.971999999998</v>
      </c>
      <c r="P503" s="265">
        <f t="shared" si="1022"/>
        <v>34229.855000000003</v>
      </c>
      <c r="Q503" s="993">
        <f t="shared" si="1022"/>
        <v>34229.855000000003</v>
      </c>
      <c r="R503" s="265">
        <f t="shared" si="1022"/>
        <v>34771.023000000001</v>
      </c>
      <c r="S503" s="265">
        <f t="shared" si="1022"/>
        <v>34085.158000000003</v>
      </c>
      <c r="T503" s="265">
        <f t="shared" si="1022"/>
        <v>32783.173000000003</v>
      </c>
      <c r="U503" s="265">
        <f t="shared" si="1022"/>
        <v>34595.892</v>
      </c>
      <c r="V503" s="993">
        <f t="shared" si="1022"/>
        <v>34595.892</v>
      </c>
      <c r="W503" s="265">
        <f t="shared" si="1022"/>
        <v>34142.562999999995</v>
      </c>
      <c r="X503" s="265">
        <f t="shared" si="1022"/>
        <v>35186.975999999995</v>
      </c>
      <c r="Y503" s="265">
        <f t="shared" si="1022"/>
        <v>33840.023999999998</v>
      </c>
      <c r="Z503" s="265">
        <f t="shared" si="1022"/>
        <v>37206.051999999989</v>
      </c>
      <c r="AA503" s="993">
        <f t="shared" si="1022"/>
        <v>37206.051999999989</v>
      </c>
      <c r="AB503" s="265">
        <f t="shared" si="1022"/>
        <v>37922.665999999997</v>
      </c>
      <c r="AC503" s="265">
        <f t="shared" si="1022"/>
        <v>33044.034000000007</v>
      </c>
      <c r="AD503" s="265">
        <f t="shared" si="1022"/>
        <v>34645.540999999997</v>
      </c>
      <c r="AE503" s="265">
        <f t="shared" si="1022"/>
        <v>31416.368000000002</v>
      </c>
      <c r="AF503" s="993">
        <f t="shared" si="1022"/>
        <v>31416.368000000002</v>
      </c>
      <c r="AG503" s="265">
        <f t="shared" si="1022"/>
        <v>36182.807999999997</v>
      </c>
      <c r="AH503" s="265">
        <f t="shared" si="1022"/>
        <v>39278.904000000002</v>
      </c>
      <c r="AI503" s="265">
        <f t="shared" si="1023" ref="AI503:BJ503">INDEX(MO_VA_StockPrice,0,COLUMN())*INDEX(MO_SCA_ShareCount_EoP_Diluted,0,COLUMN())</f>
        <v>38583.600000000006</v>
      </c>
      <c r="AJ503" s="265">
        <f t="shared" si="1023"/>
        <v>35173.472999999998</v>
      </c>
      <c r="AK503" s="993">
        <f t="shared" si="1023"/>
        <v>35173.472999999998</v>
      </c>
      <c r="AL503" s="265">
        <f t="shared" si="1023"/>
        <v>26088.637000000002</v>
      </c>
      <c r="AM503" s="265">
        <f t="shared" si="1023"/>
        <v>28755.630000000001</v>
      </c>
      <c r="AN503" s="265">
        <f t="shared" si="1023"/>
        <v>27321.992000000002</v>
      </c>
      <c r="AO503" s="265">
        <f t="shared" si="1023"/>
        <v>35298.504000000008</v>
      </c>
      <c r="AP503" s="993">
        <f t="shared" si="1023"/>
        <v>35298.504000000008</v>
      </c>
      <c r="AQ503" s="265">
        <f t="shared" si="1023"/>
        <v>39046.605000000003</v>
      </c>
      <c r="AR503" s="265">
        <f t="shared" si="1023"/>
        <v>37664.088000000003</v>
      </c>
      <c r="AS503" s="265">
        <f t="shared" si="1023"/>
        <v>38472.192000000003</v>
      </c>
      <c r="AT503" s="265">
        <f t="shared" si="1023"/>
        <v>38230.277999999998</v>
      </c>
      <c r="AU503" s="993">
        <f t="shared" si="1023"/>
        <v>38230.277999999998</v>
      </c>
      <c r="AV503" s="265">
        <f t="shared" si="1023"/>
        <v>45051.540000000001</v>
      </c>
      <c r="AW503" s="265">
        <f t="shared" si="1023"/>
        <v>39792</v>
      </c>
      <c r="AX503" s="265">
        <f t="shared" si="1023"/>
        <v>36628.224000000002</v>
      </c>
      <c r="AY503" s="265">
        <f t="shared" si="1023"/>
        <v>44097.648000000008</v>
      </c>
      <c r="AZ503" s="993">
        <f t="shared" si="1023"/>
        <v>44097.648000000008</v>
      </c>
      <c r="BA503" s="265">
        <f t="shared" si="1023"/>
        <v>39920.633999999998</v>
      </c>
      <c r="BB503" s="265">
        <f t="shared" si="1023"/>
        <v>39601.284000000007</v>
      </c>
      <c r="BC503" s="265">
        <f t="shared" si="1023"/>
        <v>37675.616999999998</v>
      </c>
      <c r="BD503" s="265">
        <f t="shared" si="1024" ref="BD503:BI503">INDEX(MO_VA_StockPrice,0,COLUMN())*INDEX(MO_SCA_ShareCount_EoP_Diluted,0,COLUMN())</f>
        <v>43984.140999999996</v>
      </c>
      <c r="BE503" s="993">
        <f t="shared" si="1024"/>
        <v>43984.140999999996</v>
      </c>
      <c r="BF503" s="265">
        <f>INDEX(MO_VA_StockPrice,0,COLUMN())*INDEX(MO_SCA_ShareCount_EoP_Diluted,0,COLUMN())</f>
        <v>53392.48</v>
      </c>
      <c r="BG503" s="265">
        <f>INDEX(MO_VA_StockPrice,0,COLUMN())*INDEX(MO_SCA_ShareCount_EoP_Diluted,0,COLUMN())</f>
        <v>46930.872000000003</v>
      </c>
      <c r="BH503" s="745">
        <f>INDEX(MO_VA_StockPrice,0,COLUMN())*INDEX(MO_SCA_ShareCount_EoP_Diluted,0,COLUMN())</f>
        <v>54352.521999999997</v>
      </c>
      <c r="BI503" s="210">
        <f t="shared" ca="1" si="1024"/>
        <v>55701.146500000003</v>
      </c>
      <c r="BJ503" s="994">
        <f t="shared" ca="1" si="1023"/>
        <v>55701.146500000003</v>
      </c>
      <c r="BK503" s="210">
        <f ca="1" t="shared" si="1025" ref="BK503:BR503">INDEX(MO_VA_StockPrice,0,COLUMN())*INDEX(MO_SCA_ShareCount_EoP_Diluted,0,COLUMN())</f>
        <v>55701.146500000003</v>
      </c>
      <c r="BL503" s="210">
        <f t="shared" ca="1" si="1025"/>
        <v>55701.146500000003</v>
      </c>
      <c r="BM503" s="210">
        <f t="shared" ca="1" si="1025"/>
        <v>55701.146500000003</v>
      </c>
      <c r="BN503" s="210">
        <f t="shared" ca="1" si="1025"/>
        <v>55701.146500000003</v>
      </c>
      <c r="BO503" s="994">
        <f t="shared" ca="1" si="1025"/>
        <v>55701.146500000003</v>
      </c>
      <c r="BP503" s="994">
        <f t="shared" ca="1" si="1025"/>
        <v>55701.146500000003</v>
      </c>
      <c r="BQ503" s="994">
        <f t="shared" ca="1" si="1025"/>
        <v>55701.146500000003</v>
      </c>
      <c r="BR503" s="994">
        <f t="shared" ca="1" si="1025"/>
        <v>55701.146500000003</v>
      </c>
      <c r="BS503" s="833"/>
    </row>
    <row r="504" spans="1:71" s="31" customFormat="1" ht="15">
      <c r="A504" s="503"/>
      <c r="B504" s="504"/>
      <c r="C504" s="1091"/>
      <c r="D504" s="1091"/>
      <c r="E504" s="1091"/>
      <c r="F504" s="1091"/>
      <c r="G504" s="1091"/>
      <c r="H504" s="505"/>
      <c r="I504" s="505"/>
      <c r="J504" s="505"/>
      <c r="K504" s="505"/>
      <c r="L504" s="1091"/>
      <c r="M504" s="505"/>
      <c r="N504" s="505"/>
      <c r="O504" s="505"/>
      <c r="P504" s="505"/>
      <c r="Q504" s="1091"/>
      <c r="R504" s="505"/>
      <c r="S504" s="506"/>
      <c r="T504" s="505"/>
      <c r="U504" s="505"/>
      <c r="V504" s="1091"/>
      <c r="W504" s="505"/>
      <c r="X504" s="506"/>
      <c r="Y504" s="505"/>
      <c r="Z504" s="506"/>
      <c r="AA504" s="1091"/>
      <c r="AB504" s="505"/>
      <c r="AC504" s="506"/>
      <c r="AD504" s="505"/>
      <c r="AE504" s="506"/>
      <c r="AF504" s="1091"/>
      <c r="AG504" s="505"/>
      <c r="AH504" s="506"/>
      <c r="AI504" s="505"/>
      <c r="AJ504" s="506"/>
      <c r="AK504" s="1091"/>
      <c r="AL504" s="505"/>
      <c r="AM504" s="506"/>
      <c r="AN504" s="505"/>
      <c r="AO504" s="506"/>
      <c r="AP504" s="1091"/>
      <c r="AQ504" s="505"/>
      <c r="AR504" s="506"/>
      <c r="AS504" s="505"/>
      <c r="AT504" s="506"/>
      <c r="AU504" s="1091"/>
      <c r="AV504" s="505"/>
      <c r="AW504" s="506"/>
      <c r="AX504" s="505"/>
      <c r="AY504" s="506"/>
      <c r="AZ504" s="1091"/>
      <c r="BA504" s="505"/>
      <c r="BB504" s="506"/>
      <c r="BC504" s="505"/>
      <c r="BD504" s="506"/>
      <c r="BE504" s="1091"/>
      <c r="BF504" s="505"/>
      <c r="BG504" s="506"/>
      <c r="BH504" s="824"/>
      <c r="BI504" s="506"/>
      <c r="BJ504" s="1091"/>
      <c r="BK504" s="506"/>
      <c r="BL504" s="506"/>
      <c r="BM504" s="506"/>
      <c r="BN504" s="506"/>
      <c r="BO504" s="1091"/>
      <c r="BP504" s="1091"/>
      <c r="BQ504" s="1091"/>
      <c r="BR504" s="1091"/>
      <c r="BS504" s="44"/>
    </row>
    <row r="505" spans="1:71" s="31" customFormat="1" ht="15">
      <c r="A505" s="59" t="str">
        <f>"P/E - "&amp;MO.ValuationToggle</f>
        <v>P/E - EoP</v>
      </c>
      <c r="B505" s="504"/>
      <c r="C505" s="1092">
        <f>C502/C422</f>
        <v>7.9893307240704496</v>
      </c>
      <c r="D505" s="1092">
        <f>D502/D422</f>
        <v>8.8735264900662258</v>
      </c>
      <c r="E505" s="1092">
        <f>E502/E422</f>
        <v>18.042773749093548</v>
      </c>
      <c r="F505" s="1092">
        <f>F502/F422</f>
        <v>11.465463253509496</v>
      </c>
      <c r="G505" s="1092">
        <f>G502/G422</f>
        <v>9.5457073446327687</v>
      </c>
      <c r="H505" s="505"/>
      <c r="I505" s="505"/>
      <c r="J505" s="505"/>
      <c r="K505" s="505"/>
      <c r="L505" s="1092">
        <f>L502/L422</f>
        <v>10.133792197011621</v>
      </c>
      <c r="M505" s="505"/>
      <c r="N505" s="505"/>
      <c r="O505" s="505"/>
      <c r="P505" s="505"/>
      <c r="Q505" s="1092">
        <f>Q502/Q422</f>
        <v>10.514546014067996</v>
      </c>
      <c r="R505" s="505"/>
      <c r="S505" s="506"/>
      <c r="T505" s="505"/>
      <c r="U505" s="505"/>
      <c r="V505" s="1092">
        <f>V502/V422</f>
        <v>12.096509337860782</v>
      </c>
      <c r="W505" s="505"/>
      <c r="X505" s="506"/>
      <c r="Y505" s="505"/>
      <c r="Z505" s="506"/>
      <c r="AA505" s="1092">
        <f>AA502/AA422</f>
        <v>18.63377909270217</v>
      </c>
      <c r="AB505" s="505"/>
      <c r="AC505" s="506"/>
      <c r="AD505" s="505"/>
      <c r="AE505" s="506"/>
      <c r="AF505" s="1092">
        <f>AF502/AF422</f>
        <v>13.231502281211116</v>
      </c>
      <c r="AG505" s="505"/>
      <c r="AH505" s="506"/>
      <c r="AI505" s="505"/>
      <c r="AJ505" s="506"/>
      <c r="AK505" s="1092">
        <f>AK502/AK422</f>
        <v>14.218160047656873</v>
      </c>
      <c r="AL505" s="505"/>
      <c r="AM505" s="506"/>
      <c r="AN505" s="505"/>
      <c r="AO505" s="506"/>
      <c r="AP505" s="1092">
        <f>AP502/AP422</f>
        <v>13.277003374578179</v>
      </c>
      <c r="AQ505" s="505"/>
      <c r="AR505" s="506"/>
      <c r="AS505" s="505"/>
      <c r="AT505" s="506"/>
      <c r="AU505" s="1092">
        <f>AU502/AU422</f>
        <v>11.252631759656653</v>
      </c>
      <c r="AV505" s="505"/>
      <c r="AW505" s="506"/>
      <c r="AX505" s="505"/>
      <c r="AY505" s="506"/>
      <c r="AZ505" s="1092">
        <f>AZ502/AZ422</f>
        <v>15.091119207521826</v>
      </c>
      <c r="BA505" s="505"/>
      <c r="BB505" s="506"/>
      <c r="BC505" s="505"/>
      <c r="BD505" s="506"/>
      <c r="BE505" s="1092">
        <f>BE502/BE422</f>
        <v>14.502222295081967</v>
      </c>
      <c r="BF505" s="505"/>
      <c r="BG505" s="506"/>
      <c r="BH505" s="824"/>
      <c r="BI505" s="506"/>
      <c r="BJ505" s="1091">
        <f ca="1">BJ502/BJ422</f>
        <v>13.023221123937423</v>
      </c>
      <c r="BK505" s="506"/>
      <c r="BL505" s="506"/>
      <c r="BM505" s="506"/>
      <c r="BN505" s="506"/>
      <c r="BO505" s="1091">
        <f ca="1">BO502/BO422</f>
        <v>11.838504712559123</v>
      </c>
      <c r="BP505" s="1091">
        <f ca="1">BP502/BP422</f>
        <v>10.770905483753694</v>
      </c>
      <c r="BQ505" s="1091">
        <f ca="1">BQ502/BQ422</f>
        <v>10.008825054627392</v>
      </c>
      <c r="BR505" s="1091">
        <f ca="1">BR502/BR422</f>
        <v>10.990005214347658</v>
      </c>
      <c r="BS505" s="44"/>
    </row>
    <row r="506" spans="1:71" s="31" customFormat="1" ht="15">
      <c r="A506" s="59" t="str">
        <f>"P/B - "&amp;MO.ValuationToggle</f>
        <v>P/B - EoP</v>
      </c>
      <c r="B506" s="504"/>
      <c r="C506" s="1092">
        <f>C502/C470</f>
        <v>0.95662415595904904</v>
      </c>
      <c r="D506" s="1092">
        <f>D502/D470</f>
        <v>0.95004070515599615</v>
      </c>
      <c r="E506" s="1092">
        <f>E502/E470</f>
        <v>0.9495434865481206</v>
      </c>
      <c r="F506" s="1092">
        <f>F502/F470</f>
        <v>1.0582946704449747</v>
      </c>
      <c r="G506" s="1092">
        <f>G502/G470</f>
        <v>1.2870616149526792</v>
      </c>
      <c r="H506" s="505"/>
      <c r="I506" s="505"/>
      <c r="J506" s="505"/>
      <c r="K506" s="505"/>
      <c r="L506" s="1092">
        <f>L502/L470</f>
        <v>1.3872139711193028</v>
      </c>
      <c r="M506" s="505"/>
      <c r="N506" s="505"/>
      <c r="O506" s="505"/>
      <c r="P506" s="505"/>
      <c r="Q506" s="1092">
        <f>Q502/Q470</f>
        <v>1.4331049577531845</v>
      </c>
      <c r="R506" s="505"/>
      <c r="S506" s="506"/>
      <c r="T506" s="505"/>
      <c r="U506" s="505"/>
      <c r="V506" s="1092">
        <f>V502/V470</f>
        <v>1.4740378077332368</v>
      </c>
      <c r="W506" s="505"/>
      <c r="X506" s="506"/>
      <c r="Y506" s="505"/>
      <c r="Z506" s="506"/>
      <c r="AA506" s="1092">
        <f>AA502/AA470</f>
        <v>1.5512492542818663</v>
      </c>
      <c r="AB506" s="505"/>
      <c r="AC506" s="506"/>
      <c r="AD506" s="505"/>
      <c r="AE506" s="506"/>
      <c r="AF506" s="1092">
        <f>AF502/AF470</f>
        <v>1.3614075277408082</v>
      </c>
      <c r="AG506" s="505"/>
      <c r="AH506" s="506"/>
      <c r="AI506" s="505"/>
      <c r="AJ506" s="506"/>
      <c r="AK506" s="1092">
        <f>AK502/AK470</f>
        <v>1.3442236889067125</v>
      </c>
      <c r="AL506" s="505"/>
      <c r="AM506" s="506"/>
      <c r="AN506" s="505"/>
      <c r="AO506" s="506"/>
      <c r="AP506" s="1092">
        <f>AP502/AP470</f>
        <v>1.2021434871828065</v>
      </c>
      <c r="AQ506" s="505"/>
      <c r="AR506" s="506"/>
      <c r="AS506" s="505"/>
      <c r="AT506" s="506"/>
      <c r="AU506" s="1092">
        <f>AU502/AU470</f>
        <v>1.3093284824025366</v>
      </c>
      <c r="AV506" s="505"/>
      <c r="AW506" s="506"/>
      <c r="AX506" s="505"/>
      <c r="AY506" s="506"/>
      <c r="AZ506" s="1092">
        <f>AZ502/AZ470</f>
        <v>2.0183872505618008</v>
      </c>
      <c r="BA506" s="505"/>
      <c r="BB506" s="506"/>
      <c r="BC506" s="505"/>
      <c r="BD506" s="506"/>
      <c r="BE506" s="1092">
        <f>BE502/BE470</f>
        <v>1.744304724660277</v>
      </c>
      <c r="BF506" s="505"/>
      <c r="BG506" s="506"/>
      <c r="BH506" s="824"/>
      <c r="BI506" s="506"/>
      <c r="BJ506" s="1091">
        <f ca="1">BJ502/BJ470</f>
        <v>1.907830078593804</v>
      </c>
      <c r="BK506" s="506"/>
      <c r="BL506" s="506"/>
      <c r="BM506" s="506"/>
      <c r="BN506" s="506"/>
      <c r="BO506" s="1091">
        <f ca="1">BO502/BO470</f>
        <v>1.6844995622901209</v>
      </c>
      <c r="BP506" s="1091">
        <f ca="1">BP502/BP470</f>
        <v>1.4889643989378298</v>
      </c>
      <c r="BQ506" s="1091">
        <f ca="1">BQ502/BQ470</f>
        <v>1.3216387138492032</v>
      </c>
      <c r="BR506" s="1091">
        <f ca="1">BR502/BR470</f>
        <v>1.2009763267718616</v>
      </c>
      <c r="BS506" s="44"/>
    </row>
    <row r="507" spans="1:71" s="31" customFormat="1" ht="15" hidden="1" outlineLevel="1">
      <c r="A507" s="503"/>
      <c r="B507" s="504"/>
      <c r="C507" s="1091"/>
      <c r="D507" s="1091"/>
      <c r="E507" s="1091"/>
      <c r="F507" s="1091"/>
      <c r="G507" s="1091"/>
      <c r="H507" s="505"/>
      <c r="I507" s="505"/>
      <c r="J507" s="505"/>
      <c r="K507" s="505"/>
      <c r="L507" s="1091"/>
      <c r="M507" s="505"/>
      <c r="N507" s="505"/>
      <c r="O507" s="505"/>
      <c r="P507" s="505"/>
      <c r="Q507" s="1091"/>
      <c r="R507" s="505"/>
      <c r="S507" s="506"/>
      <c r="T507" s="505"/>
      <c r="U507" s="505"/>
      <c r="V507" s="1091"/>
      <c r="W507" s="505"/>
      <c r="X507" s="506"/>
      <c r="Y507" s="505"/>
      <c r="Z507" s="506"/>
      <c r="AA507" s="1091"/>
      <c r="AB507" s="505"/>
      <c r="AC507" s="506"/>
      <c r="AD507" s="505"/>
      <c r="AE507" s="506"/>
      <c r="AF507" s="1091"/>
      <c r="AG507" s="505"/>
      <c r="AH507" s="506"/>
      <c r="AI507" s="505"/>
      <c r="AJ507" s="506"/>
      <c r="AK507" s="1091"/>
      <c r="AL507" s="505"/>
      <c r="AM507" s="506"/>
      <c r="AN507" s="505"/>
      <c r="AO507" s="506"/>
      <c r="AP507" s="1091"/>
      <c r="AQ507" s="505"/>
      <c r="AR507" s="506"/>
      <c r="AS507" s="505"/>
      <c r="AT507" s="506"/>
      <c r="AU507" s="1091"/>
      <c r="AV507" s="505"/>
      <c r="AW507" s="506"/>
      <c r="AX507" s="505"/>
      <c r="AY507" s="506"/>
      <c r="AZ507" s="1091"/>
      <c r="BA507" s="505"/>
      <c r="BB507" s="506"/>
      <c r="BC507" s="505"/>
      <c r="BD507" s="506"/>
      <c r="BE507" s="1091"/>
      <c r="BF507" s="505"/>
      <c r="BG507" s="506"/>
      <c r="BH507" s="824"/>
      <c r="BI507" s="506"/>
      <c r="BJ507" s="1091"/>
      <c r="BK507" s="506"/>
      <c r="BL507" s="506"/>
      <c r="BM507" s="506"/>
      <c r="BN507" s="506"/>
      <c r="BO507" s="1091"/>
      <c r="BP507" s="1091"/>
      <c r="BQ507" s="1091"/>
      <c r="BR507" s="1091"/>
      <c r="BS507" s="44"/>
    </row>
    <row r="508" spans="1:71" s="288" customFormat="1" ht="15" hidden="1" outlineLevel="1">
      <c r="A508" s="294" t="str">
        <f ca="1">"Stock High, "&amp;HP.TradeCurrency</f>
        <v>Stock High, USD</v>
      </c>
      <c r="B508" s="507"/>
      <c r="C508" s="1093">
        <f ca="1" t="shared" si="1026" ref="C508:AQ508">IF(INDEX(MO_SNA_IsHistoricalPeriod,1,COLUMN())=FALSE,0,INDEX(MO_SPT_StockHigh,1,COLUMN()))</f>
        <v>54.31</v>
      </c>
      <c r="D508" s="1093">
        <f t="shared" ca="1" si="1026"/>
        <v>57.44</v>
      </c>
      <c r="E508" s="1093">
        <f t="shared" ca="1" si="1026"/>
        <v>64.05</v>
      </c>
      <c r="F508" s="1093">
        <f t="shared" ca="1" si="1026"/>
        <v>74.33</v>
      </c>
      <c r="G508" s="1093">
        <f t="shared" ca="1" si="1026"/>
        <v>90.99</v>
      </c>
      <c r="H508" s="297">
        <f t="shared" ca="1" si="1026"/>
        <v>89.33</v>
      </c>
      <c r="I508" s="297">
        <f t="shared" ca="1" si="1026"/>
        <v>95.60</v>
      </c>
      <c r="J508" s="297">
        <f t="shared" ca="1" si="1026"/>
        <v>95.95</v>
      </c>
      <c r="K508" s="297">
        <f t="shared" ca="1" si="1026"/>
        <v>106.95</v>
      </c>
      <c r="L508" s="1093">
        <f t="shared" ca="1" si="1026"/>
        <v>106.95</v>
      </c>
      <c r="M508" s="297">
        <f t="shared" ca="1" si="1026"/>
        <v>109.73</v>
      </c>
      <c r="N508" s="297">
        <f t="shared" ca="1" si="1026"/>
        <v>108.67</v>
      </c>
      <c r="O508" s="297">
        <f t="shared" ca="1" si="1026"/>
        <v>107.81999999999999</v>
      </c>
      <c r="P508" s="297">
        <f t="shared" ca="1" si="1026"/>
        <v>115.83</v>
      </c>
      <c r="Q508" s="1093">
        <f t="shared" ca="1" si="1026"/>
        <v>115.83</v>
      </c>
      <c r="R508" s="297">
        <f t="shared" ca="1" si="1026"/>
        <v>117.43000000000001</v>
      </c>
      <c r="S508" s="297">
        <f t="shared" ca="1" si="1026"/>
        <v>119.04000000000001</v>
      </c>
      <c r="T508" s="297">
        <f t="shared" ca="1" si="1026"/>
        <v>119.29000000000001</v>
      </c>
      <c r="U508" s="297">
        <f t="shared" ca="1" si="1026"/>
        <v>122.56999999999999</v>
      </c>
      <c r="V508" s="1093">
        <f t="shared" ca="1" si="1026"/>
        <v>122.56999999999999</v>
      </c>
      <c r="W508" s="297">
        <f t="shared" ca="1" si="1026"/>
        <v>124.98999999999999</v>
      </c>
      <c r="X508" s="297">
        <f t="shared" ca="1" si="1026"/>
        <v>129.44</v>
      </c>
      <c r="Y508" s="297">
        <f t="shared" ca="1" si="1026"/>
        <v>130.15000000000001</v>
      </c>
      <c r="Z508" s="297">
        <f t="shared" ca="1" si="1026"/>
        <v>136.36000000000001</v>
      </c>
      <c r="AA508" s="1094">
        <f t="shared" ca="1" si="1026"/>
        <v>136.36000000000001</v>
      </c>
      <c r="AB508" s="297">
        <f t="shared" ca="1" si="1026"/>
        <v>146.56309999999999</v>
      </c>
      <c r="AC508" s="297">
        <f t="shared" ca="1" si="1026"/>
        <v>136.80770000000001</v>
      </c>
      <c r="AD508" s="297">
        <f t="shared" ca="1" si="1026"/>
        <v>133.61449999999999</v>
      </c>
      <c r="AE508" s="297">
        <f t="shared" ca="1" si="1026"/>
        <v>130.85159999999999</v>
      </c>
      <c r="AF508" s="1094">
        <f t="shared" ca="1" si="1026"/>
        <v>146.56309999999999</v>
      </c>
      <c r="AG508" s="297">
        <f t="shared" ca="1" si="1026"/>
        <v>137.16</v>
      </c>
      <c r="AH508" s="297">
        <f t="shared" ca="1" si="1026"/>
        <v>153.13</v>
      </c>
      <c r="AI508" s="297">
        <f t="shared" ca="1" si="1026"/>
        <v>154.83000000000001</v>
      </c>
      <c r="AJ508" s="297">
        <f t="shared" ca="1" si="1026"/>
        <v>145.55000000000001</v>
      </c>
      <c r="AK508" s="1094">
        <f t="shared" ca="1" si="1026"/>
        <v>154.83000000000001</v>
      </c>
      <c r="AL508" s="297">
        <f t="shared" ca="1" si="1026"/>
        <v>141.34</v>
      </c>
      <c r="AM508" s="297">
        <f t="shared" ca="1" si="1026"/>
        <v>128</v>
      </c>
      <c r="AN508" s="297">
        <f ca="1">IF(INDEX(MO_SNA_IsHistoricalPeriod,1,COLUMN())=FALSE,0,INDEX(MO_SPT_StockHigh,1,COLUMN()))</f>
        <v>122.23999999999999</v>
      </c>
      <c r="AO508" s="297">
        <f t="shared" ca="1" si="1026"/>
        <v>140.37</v>
      </c>
      <c r="AP508" s="1094">
        <f t="shared" ca="1" si="1026"/>
        <v>141.34</v>
      </c>
      <c r="AQ508" s="297">
        <f t="shared" ca="1" si="1026"/>
        <v>157.91999999999999</v>
      </c>
      <c r="AR508" s="297">
        <f ca="1" t="shared" si="1027" ref="AR508:AW508">IF(INDEX(MO_SNA_IsHistoricalPeriod,1,COLUMN())=FALSE,0,INDEX(MO_SPT_StockHigh,1,COLUMN()))</f>
        <v>161.66999999999999</v>
      </c>
      <c r="AS508" s="297">
        <f t="shared" ca="1" si="1027"/>
        <v>162.58000000000001</v>
      </c>
      <c r="AT508" s="297">
        <f t="shared" ca="1" si="1027"/>
        <v>162.37</v>
      </c>
      <c r="AU508" s="1094">
        <f t="shared" ca="1" si="1027"/>
        <v>162.58000000000001</v>
      </c>
      <c r="AV508" s="297">
        <f t="shared" ca="1" si="1027"/>
        <v>187.75</v>
      </c>
      <c r="AW508" s="297">
        <f t="shared" ca="1" si="1027"/>
        <v>185.64</v>
      </c>
      <c r="AX508" s="297">
        <f ca="1" t="shared" si="1028" ref="AX508:BJ508">IF(INDEX(MO_SNA_IsHistoricalPeriod,1,COLUMN())=FALSE,0,INDEX(MO_SPT_StockHigh,1,COLUMN()))</f>
        <v>174.11</v>
      </c>
      <c r="AY508" s="297">
        <f t="shared" ca="1" si="1028"/>
        <v>190.48</v>
      </c>
      <c r="AZ508" s="1094">
        <f t="shared" ca="1" si="1028"/>
        <v>190.48</v>
      </c>
      <c r="BA508" s="297">
        <f ca="1" t="shared" si="1029" ref="BA508:BI508">IF(INDEX(MO_SNA_IsHistoricalPeriod,1,COLUMN())=FALSE,0,INDEX(MO_SPT_StockHigh,1,COLUMN()))</f>
        <v>193.92</v>
      </c>
      <c r="BB508" s="297">
        <f t="shared" ca="1" si="1029"/>
        <v>183.75</v>
      </c>
      <c r="BC508" s="297">
        <f t="shared" ca="1" si="1029"/>
        <v>174.87</v>
      </c>
      <c r="BD508" s="297">
        <f t="shared" ca="1" si="1029"/>
        <v>190.49</v>
      </c>
      <c r="BE508" s="1094">
        <f t="shared" ca="1" si="1029"/>
        <v>193.92</v>
      </c>
      <c r="BF508" s="297">
        <f ca="1">IF(INDEX(MO_SNA_IsHistoricalPeriod,1,COLUMN())=FALSE,0,INDEX(MO_SPT_StockHigh,1,COLUMN()))</f>
        <v>230.14</v>
      </c>
      <c r="BG508" s="297">
        <f ca="1">IF(INDEX(MO_SNA_IsHistoricalPeriod,1,COLUMN())=FALSE,0,INDEX(MO_SPT_StockHigh,1,COLUMN()))</f>
        <v>230.89</v>
      </c>
      <c r="BH508" s="778">
        <f ca="1">IF(INDEX(MO_SNA_IsHistoricalPeriod,1,COLUMN())=FALSE,0,INDEX(MO_SPT_StockHigh,1,COLUMN()))</f>
        <v>242.26</v>
      </c>
      <c r="BI508" s="652">
        <f t="shared" si="1029"/>
        <v>0</v>
      </c>
      <c r="BJ508" s="1095">
        <f t="shared" si="1028"/>
        <v>0</v>
      </c>
      <c r="BK508" s="652">
        <f t="shared" si="1030" ref="BK508:BR508">IF(INDEX(MO_SNA_IsHistoricalPeriod,1,COLUMN())=FALSE,0,INDEX(MO_SPT_StockHigh,1,COLUMN()))</f>
        <v>0</v>
      </c>
      <c r="BL508" s="652">
        <f t="shared" si="1030"/>
        <v>0</v>
      </c>
      <c r="BM508" s="652">
        <f t="shared" si="1030"/>
        <v>0</v>
      </c>
      <c r="BN508" s="652">
        <f t="shared" si="1030"/>
        <v>0</v>
      </c>
      <c r="BO508" s="1095">
        <f t="shared" si="1030"/>
        <v>0</v>
      </c>
      <c r="BP508" s="1095">
        <f t="shared" si="1030"/>
        <v>0</v>
      </c>
      <c r="BQ508" s="1095">
        <f t="shared" si="1030"/>
        <v>0</v>
      </c>
      <c r="BR508" s="1095">
        <f t="shared" si="1030"/>
        <v>0</v>
      </c>
      <c r="BS508" s="287"/>
    </row>
    <row r="509" spans="1:71" s="288" customFormat="1" ht="15" hidden="1" outlineLevel="1">
      <c r="A509" s="294" t="str">
        <f ca="1">"Stock Low, "&amp;HP.TradeCurrency</f>
        <v>Stock Low, USD</v>
      </c>
      <c r="B509" s="507"/>
      <c r="C509" s="1093">
        <f ca="1" t="shared" si="1031" ref="C509:AQ509">IF(INDEX(MO_SNA_IsHistoricalPeriod,1,COLUMN())=FALSE,0,INDEX(MO_SPT_StockLow,1,COLUMN()))</f>
        <v>33.520000000000003</v>
      </c>
      <c r="D509" s="1093">
        <f t="shared" ca="1" si="1031"/>
        <v>47.94</v>
      </c>
      <c r="E509" s="1093">
        <f t="shared" ca="1" si="1031"/>
        <v>46.80</v>
      </c>
      <c r="F509" s="1093">
        <f t="shared" ca="1" si="1031"/>
        <v>56.87</v>
      </c>
      <c r="G509" s="1093">
        <f t="shared" ca="1" si="1031"/>
        <v>72.86</v>
      </c>
      <c r="H509" s="297">
        <f t="shared" ca="1" si="1031"/>
        <v>80.260000000000005</v>
      </c>
      <c r="I509" s="297">
        <f t="shared" ca="1" si="1031"/>
        <v>84.39</v>
      </c>
      <c r="J509" s="297">
        <f t="shared" ca="1" si="1031"/>
        <v>89.12</v>
      </c>
      <c r="K509" s="297">
        <f t="shared" ca="1" si="1031"/>
        <v>91.81</v>
      </c>
      <c r="L509" s="1093">
        <f t="shared" ca="1" si="1031"/>
        <v>80.260000000000005</v>
      </c>
      <c r="M509" s="297">
        <f t="shared" ca="1" si="1031"/>
        <v>102.81999999999999</v>
      </c>
      <c r="N509" s="297">
        <f t="shared" ca="1" si="1031"/>
        <v>96.14</v>
      </c>
      <c r="O509" s="297">
        <f t="shared" ca="1" si="1031"/>
        <v>97.49</v>
      </c>
      <c r="P509" s="297">
        <f t="shared" ca="1" si="1031"/>
        <v>98.34</v>
      </c>
      <c r="Q509" s="1093">
        <f t="shared" ca="1" si="1031"/>
        <v>96.14</v>
      </c>
      <c r="R509" s="297">
        <f t="shared" ca="1" si="1031"/>
        <v>102.08</v>
      </c>
      <c r="S509" s="297">
        <f t="shared" ca="1" si="1031"/>
        <v>108.79000000000001</v>
      </c>
      <c r="T509" s="297">
        <f t="shared" ca="1" si="1031"/>
        <v>113.70999999999999</v>
      </c>
      <c r="U509" s="297">
        <f t="shared" ca="1" si="1031"/>
        <v>104.67</v>
      </c>
      <c r="V509" s="1093">
        <f t="shared" ca="1" si="1031"/>
        <v>102.08</v>
      </c>
      <c r="W509" s="297">
        <f t="shared" ca="1" si="1031"/>
        <v>116.54000000000001</v>
      </c>
      <c r="X509" s="297">
        <f t="shared" ca="1" si="1031"/>
        <v>118.88</v>
      </c>
      <c r="Y509" s="297">
        <f t="shared" ca="1" si="1031"/>
        <v>115.18000000000001</v>
      </c>
      <c r="Z509" s="297">
        <f t="shared" ca="1" si="1031"/>
        <v>123.31999999999999</v>
      </c>
      <c r="AA509" s="1094">
        <f t="shared" ca="1" si="1031"/>
        <v>115.18000000000001</v>
      </c>
      <c r="AB509" s="297">
        <f t="shared" ca="1" si="1031"/>
        <v>128.43809999999999</v>
      </c>
      <c r="AC509" s="297">
        <f t="shared" ca="1" si="1031"/>
        <v>119.8946</v>
      </c>
      <c r="AD509" s="297">
        <f t="shared" ca="1" si="1031"/>
        <v>120.932</v>
      </c>
      <c r="AE509" s="297">
        <f t="shared" ca="1" si="1031"/>
        <v>112.63</v>
      </c>
      <c r="AF509" s="1094">
        <f t="shared" ca="1" si="1031"/>
        <v>112.63</v>
      </c>
      <c r="AG509" s="297">
        <f t="shared" ca="1" si="1031"/>
        <v>115.26000000000001</v>
      </c>
      <c r="AH509" s="297">
        <f t="shared" ca="1" si="1031"/>
        <v>135.19</v>
      </c>
      <c r="AI509" s="297">
        <f t="shared" ca="1" si="1031"/>
        <v>143.47999999999999</v>
      </c>
      <c r="AJ509" s="297">
        <f t="shared" ca="1" si="1031"/>
        <v>128.93000000000001</v>
      </c>
      <c r="AK509" s="1094">
        <f t="shared" ca="1" si="1031"/>
        <v>115.26000000000001</v>
      </c>
      <c r="AL509" s="297">
        <f t="shared" ca="1" si="1031"/>
        <v>81.69</v>
      </c>
      <c r="AM509" s="297">
        <f t="shared" ca="1" si="1031"/>
        <v>89.86</v>
      </c>
      <c r="AN509" s="297">
        <f ca="1">IF(INDEX(MO_SNA_IsHistoricalPeriod,1,COLUMN())=FALSE,0,INDEX(MO_SPT_StockLow,1,COLUMN()))</f>
        <v>107.44</v>
      </c>
      <c r="AO509" s="297">
        <f t="shared" ca="1" si="1031"/>
        <v>107.81</v>
      </c>
      <c r="AP509" s="1094">
        <f t="shared" ca="1" si="1031"/>
        <v>81.69</v>
      </c>
      <c r="AQ509" s="297">
        <f t="shared" ca="1" si="1031"/>
        <v>134.53</v>
      </c>
      <c r="AR509" s="297">
        <f ca="1" t="shared" si="1032" ref="AR509:AW509">IF(INDEX(MO_SNA_IsHistoricalPeriod,1,COLUMN())=FALSE,0,INDEX(MO_SPT_StockLow,1,COLUMN()))</f>
        <v>144.75999999999999</v>
      </c>
      <c r="AS509" s="297">
        <f t="shared" ca="1" si="1032"/>
        <v>146.81999999999999</v>
      </c>
      <c r="AT509" s="297">
        <f t="shared" ca="1" si="1032"/>
        <v>145.47999999999999</v>
      </c>
      <c r="AU509" s="1094">
        <f t="shared" ca="1" si="1032"/>
        <v>134.53</v>
      </c>
      <c r="AV509" s="297">
        <f t="shared" ca="1" si="1032"/>
        <v>155.75</v>
      </c>
      <c r="AW509" s="297">
        <f t="shared" ca="1" si="1032"/>
        <v>159.77000000000001</v>
      </c>
      <c r="AX509" s="297">
        <f ca="1" t="shared" si="1033" ref="AX509:BJ509">IF(INDEX(MO_SNA_IsHistoricalPeriod,1,COLUMN())=FALSE,0,INDEX(MO_SPT_StockLow,1,COLUMN()))</f>
        <v>150.59999999999999</v>
      </c>
      <c r="AY509" s="297">
        <f t="shared" ca="1" si="1033"/>
        <v>156.88</v>
      </c>
      <c r="AZ509" s="1094">
        <f t="shared" ca="1" si="1033"/>
        <v>150.59999999999999</v>
      </c>
      <c r="BA509" s="297">
        <f ca="1" t="shared" si="1034" ref="BA509:BI509">IF(INDEX(MO_SNA_IsHistoricalPeriod,1,COLUMN())=FALSE,0,INDEX(MO_SPT_StockLow,1,COLUMN()))</f>
        <v>163.86</v>
      </c>
      <c r="BB509" s="297">
        <f t="shared" ca="1" si="1034"/>
        <v>168.37</v>
      </c>
      <c r="BC509" s="297">
        <f t="shared" ca="1" si="1034"/>
        <v>159.88999999999999</v>
      </c>
      <c r="BD509" s="297">
        <f t="shared" ca="1" si="1034"/>
        <v>157.91999999999999</v>
      </c>
      <c r="BE509" s="1094">
        <f t="shared" ca="1" si="1034"/>
        <v>157.91999999999999</v>
      </c>
      <c r="BF509" s="297">
        <f ca="1">IF(INDEX(MO_SNA_IsHistoricalPeriod,1,COLUMN())=FALSE,0,INDEX(MO_SPT_StockLow,1,COLUMN()))</f>
        <v>191.30</v>
      </c>
      <c r="BG509" s="297">
        <f ca="1">IF(INDEX(MO_SNA_IsHistoricalPeriod,1,COLUMN())=FALSE,0,INDEX(MO_SPT_StockLow,1,COLUMN()))</f>
        <v>203.34</v>
      </c>
      <c r="BH509" s="778">
        <f ca="1">IF(INDEX(MO_SNA_IsHistoricalPeriod,1,COLUMN())=FALSE,0,INDEX(MO_SPT_StockLow,1,COLUMN()))</f>
        <v>201.87</v>
      </c>
      <c r="BI509" s="652">
        <f t="shared" si="1034"/>
        <v>0</v>
      </c>
      <c r="BJ509" s="1095">
        <f t="shared" si="1033"/>
        <v>0</v>
      </c>
      <c r="BK509" s="652">
        <f t="shared" si="1035" ref="BK509:BR509">IF(INDEX(MO_SNA_IsHistoricalPeriod,1,COLUMN())=FALSE,0,INDEX(MO_SPT_StockLow,1,COLUMN()))</f>
        <v>0</v>
      </c>
      <c r="BL509" s="652">
        <f t="shared" si="1035"/>
        <v>0</v>
      </c>
      <c r="BM509" s="652">
        <f t="shared" si="1035"/>
        <v>0</v>
      </c>
      <c r="BN509" s="652">
        <f t="shared" si="1035"/>
        <v>0</v>
      </c>
      <c r="BO509" s="1095">
        <f t="shared" si="1035"/>
        <v>0</v>
      </c>
      <c r="BP509" s="1095">
        <f t="shared" si="1035"/>
        <v>0</v>
      </c>
      <c r="BQ509" s="1095">
        <f t="shared" si="1035"/>
        <v>0</v>
      </c>
      <c r="BR509" s="1095">
        <f t="shared" si="1035"/>
        <v>0</v>
      </c>
      <c r="BS509" s="287"/>
    </row>
    <row r="510" spans="1:71" s="288" customFormat="1" ht="15" hidden="1" outlineLevel="1">
      <c r="A510" s="294" t="str">
        <f ca="1">"Stock Average, "&amp;HP.TradeCurrency</f>
        <v>Stock Average, USD</v>
      </c>
      <c r="B510" s="507"/>
      <c r="C510" s="1093">
        <f ca="1" t="shared" si="1036" ref="C510:AQ510">IF(INDEX(MO_SNA_IsHistoricalPeriod,1,COLUMN())=FALSE,0,INDEX(MO_SPT_StockAverage,1,COLUMN()))</f>
        <v>43.915</v>
      </c>
      <c r="D510" s="1093">
        <f t="shared" ca="1" si="1036"/>
        <v>52.69</v>
      </c>
      <c r="E510" s="1093">
        <f t="shared" ca="1" si="1036"/>
        <v>55.425</v>
      </c>
      <c r="F510" s="1093">
        <f t="shared" ca="1" si="1036"/>
        <v>65.599999999999994</v>
      </c>
      <c r="G510" s="1093">
        <f t="shared" ca="1" si="1036"/>
        <v>81.925</v>
      </c>
      <c r="H510" s="297">
        <f t="shared" ca="1" si="1036"/>
        <v>84.795</v>
      </c>
      <c r="I510" s="297">
        <f t="shared" ca="1" si="1036"/>
        <v>89.995</v>
      </c>
      <c r="J510" s="297">
        <f t="shared" ca="1" si="1036"/>
        <v>92.535</v>
      </c>
      <c r="K510" s="297">
        <f t="shared" ca="1" si="1036"/>
        <v>99.38</v>
      </c>
      <c r="L510" s="1093">
        <f t="shared" ca="1" si="1036"/>
        <v>91.67625</v>
      </c>
      <c r="M510" s="297">
        <f t="shared" ca="1" si="1036"/>
        <v>106.27500000000001</v>
      </c>
      <c r="N510" s="297">
        <f t="shared" ca="1" si="1036"/>
        <v>102.405</v>
      </c>
      <c r="O510" s="297">
        <f t="shared" ca="1" si="1036"/>
        <v>102.655</v>
      </c>
      <c r="P510" s="297">
        <f t="shared" ca="1" si="1036"/>
        <v>107.08499999999999</v>
      </c>
      <c r="Q510" s="1093">
        <f t="shared" ca="1" si="1036"/>
        <v>104.605</v>
      </c>
      <c r="R510" s="297">
        <f t="shared" ca="1" si="1036"/>
        <v>109.755</v>
      </c>
      <c r="S510" s="297">
        <f t="shared" ca="1" si="1036"/>
        <v>113.91500000000001</v>
      </c>
      <c r="T510" s="297">
        <f t="shared" ca="1" si="1036"/>
        <v>116.50</v>
      </c>
      <c r="U510" s="297">
        <f t="shared" ca="1" si="1036"/>
        <v>113.62</v>
      </c>
      <c r="V510" s="1093">
        <f t="shared" ca="1" si="1036"/>
        <v>113.44750000000001</v>
      </c>
      <c r="W510" s="297">
        <f t="shared" ca="1" si="1036"/>
        <v>120.765</v>
      </c>
      <c r="X510" s="297">
        <f t="shared" ca="1" si="1036"/>
        <v>124.16</v>
      </c>
      <c r="Y510" s="297">
        <f t="shared" ca="1" si="1036"/>
        <v>122.66500000000001</v>
      </c>
      <c r="Z510" s="297">
        <f t="shared" ca="1" si="1036"/>
        <v>129.84</v>
      </c>
      <c r="AA510" s="1094">
        <f t="shared" ca="1" si="1036"/>
        <v>124.3575</v>
      </c>
      <c r="AB510" s="297">
        <f t="shared" ca="1" si="1036"/>
        <v>136.670808196721</v>
      </c>
      <c r="AC510" s="297">
        <f t="shared" ca="1" si="1036"/>
        <v>128.8461453125</v>
      </c>
      <c r="AD510" s="297">
        <f t="shared" ca="1" si="1036"/>
        <v>127.696782539682</v>
      </c>
      <c r="AE510" s="297">
        <f t="shared" ca="1" si="1036"/>
        <v>124.577963492064</v>
      </c>
      <c r="AF510" s="1094">
        <f t="shared" ca="1" si="1036"/>
        <v>129.38797450199201</v>
      </c>
      <c r="AG510" s="297">
        <f t="shared" ca="1" si="1036"/>
        <v>127.84119672131099</v>
      </c>
      <c r="AH510" s="297">
        <f t="shared" ca="1" si="1036"/>
        <v>144.207619047619</v>
      </c>
      <c r="AI510" s="297">
        <f t="shared" ca="1" si="1036"/>
        <v>148.66515625</v>
      </c>
      <c r="AJ510" s="297">
        <f t="shared" ca="1" si="1036"/>
        <v>136.12187499999999</v>
      </c>
      <c r="AK510" s="1094">
        <f t="shared" ca="1" si="1036"/>
        <v>139.34908730158699</v>
      </c>
      <c r="AL510" s="297">
        <f t="shared" ca="1" si="1036"/>
        <v>124.361451612903</v>
      </c>
      <c r="AM510" s="297">
        <f t="shared" ca="1" si="1036"/>
        <v>105.380793650794</v>
      </c>
      <c r="AN510" s="297">
        <f ca="1">IF(INDEX(MO_SNA_IsHistoricalPeriod,1,COLUMN())=FALSE,0,INDEX(MO_SPT_StockAverage,1,COLUMN()))</f>
        <v>114.64812499999999</v>
      </c>
      <c r="AO510" s="297">
        <f t="shared" ca="1" si="1036"/>
        <v>128.42156249999999</v>
      </c>
      <c r="AP510" s="1094">
        <f t="shared" ca="1" si="1036"/>
        <v>118.204980237154</v>
      </c>
      <c r="AQ510" s="297">
        <f t="shared" ca="1" si="1036"/>
        <v>146.98606557376999</v>
      </c>
      <c r="AR510" s="297">
        <f ca="1" t="shared" si="1037" ref="AR510:AW510">IF(INDEX(MO_SNA_IsHistoricalPeriod,1,COLUMN())=FALSE,0,INDEX(MO_SPT_StockAverage,1,COLUMN()))</f>
        <v>155.15730158730199</v>
      </c>
      <c r="AS510" s="297">
        <f t="shared" ca="1" si="1037"/>
        <v>154.8009375</v>
      </c>
      <c r="AT510" s="297">
        <f t="shared" ca="1" si="1037"/>
        <v>156.25234374999999</v>
      </c>
      <c r="AU510" s="1094">
        <f t="shared" ca="1" si="1037"/>
        <v>153.36694444444399</v>
      </c>
      <c r="AV510" s="297">
        <f t="shared" ca="1" si="1037"/>
        <v>171.42919354838699</v>
      </c>
      <c r="AW510" s="297">
        <f t="shared" ca="1" si="1037"/>
        <v>173.81629032258101</v>
      </c>
      <c r="AX510" s="297">
        <f ca="1" t="shared" si="1038" ref="AX510:BJ510">IF(INDEX(MO_SNA_IsHistoricalPeriod,1,COLUMN())=FALSE,0,INDEX(MO_SPT_StockAverage,1,COLUMN()))</f>
        <v>162.57515624999999</v>
      </c>
      <c r="AY510" s="297">
        <f t="shared" ca="1" si="1038"/>
        <v>179.89</v>
      </c>
      <c r="AZ510" s="1094">
        <f t="shared" ca="1" si="1038"/>
        <v>171.884860557769</v>
      </c>
      <c r="BA510" s="297">
        <f ca="1" t="shared" si="1039" ref="BA510:BI510">IF(INDEX(MO_SNA_IsHistoricalPeriod,1,COLUMN())=FALSE,0,INDEX(MO_SPT_StockAverage,1,COLUMN()))</f>
        <v>181.844032258065</v>
      </c>
      <c r="BB510" s="297">
        <f t="shared" ca="1" si="1039"/>
        <v>176.373548387097</v>
      </c>
      <c r="BC510" s="297">
        <f t="shared" ca="1" si="1039"/>
        <v>167.00523809523801</v>
      </c>
      <c r="BD510" s="297">
        <f t="shared" ca="1" si="1039"/>
        <v>173.15142857142899</v>
      </c>
      <c r="BE510" s="1094">
        <f t="shared" ca="1" si="1039"/>
        <v>174.55744000000001</v>
      </c>
      <c r="BF510" s="297">
        <f ca="1">IF(INDEX(MO_SNA_IsHistoricalPeriod,1,COLUMN())=FALSE,0,INDEX(MO_SPT_StockAverage,1,COLUMN()))</f>
        <v>213.64901639344299</v>
      </c>
      <c r="BG510" s="297">
        <f ca="1">IF(INDEX(MO_SNA_IsHistoricalPeriod,1,COLUMN())=FALSE,0,INDEX(MO_SPT_StockAverage,1,COLUMN()))</f>
        <v>214.95206349206299</v>
      </c>
      <c r="BH510" s="778">
        <f ca="1">IF(INDEX(MO_SNA_IsHistoricalPeriod,1,COLUMN())=FALSE,0,INDEX(MO_SPT_StockAverage,1,COLUMN()))</f>
        <v>220.46546875000001</v>
      </c>
      <c r="BI510" s="652">
        <f t="shared" si="1039"/>
        <v>0</v>
      </c>
      <c r="BJ510" s="1095">
        <f t="shared" si="1038"/>
        <v>0</v>
      </c>
      <c r="BK510" s="652">
        <f t="shared" si="1040" ref="BK510:BR510">IF(INDEX(MO_SNA_IsHistoricalPeriod,1,COLUMN())=FALSE,0,INDEX(MO_SPT_StockAverage,1,COLUMN()))</f>
        <v>0</v>
      </c>
      <c r="BL510" s="652">
        <f t="shared" si="1040"/>
        <v>0</v>
      </c>
      <c r="BM510" s="652">
        <f t="shared" si="1040"/>
        <v>0</v>
      </c>
      <c r="BN510" s="652">
        <f t="shared" si="1040"/>
        <v>0</v>
      </c>
      <c r="BO510" s="1095">
        <f t="shared" si="1040"/>
        <v>0</v>
      </c>
      <c r="BP510" s="1095">
        <f t="shared" si="1040"/>
        <v>0</v>
      </c>
      <c r="BQ510" s="1095">
        <f t="shared" si="1040"/>
        <v>0</v>
      </c>
      <c r="BR510" s="1095">
        <f t="shared" si="1040"/>
        <v>0</v>
      </c>
      <c r="BS510" s="287"/>
    </row>
    <row r="511" spans="1:71" s="288" customFormat="1" ht="15" hidden="1" outlineLevel="1">
      <c r="A511" s="294" t="str">
        <f ca="1">"Stock EoP, "&amp;HP.TradeCurrency</f>
        <v>Stock EoP, USD</v>
      </c>
      <c r="B511" s="507"/>
      <c r="C511" s="1096">
        <f t="shared" si="1041" ref="C511:AH511">IF(INDEX(MO_SNA_IsHistoricalPeriod,1,COLUMN())=FALSE,MO.LastPrice,INDEX(MO_SPT_StockEoP,1,COLUMN()))</f>
        <v>50.26</v>
      </c>
      <c r="D511" s="1096">
        <f t="shared" si="1041"/>
        <v>55.54</v>
      </c>
      <c r="E511" s="1096">
        <f t="shared" si="1041"/>
        <v>59.17</v>
      </c>
      <c r="F511" s="1096">
        <f t="shared" si="1041"/>
        <v>71.239999999999995</v>
      </c>
      <c r="G511" s="1096">
        <f t="shared" si="1041"/>
        <v>90.28</v>
      </c>
      <c r="H511" s="610">
        <f t="shared" si="1041"/>
        <v>83.99</v>
      </c>
      <c r="I511" s="610">
        <f t="shared" si="1041"/>
        <v>93.92</v>
      </c>
      <c r="J511" s="610">
        <f t="shared" si="1041"/>
        <v>93.77</v>
      </c>
      <c r="K511" s="610">
        <f t="shared" si="1041"/>
        <v>106.93000000000001</v>
      </c>
      <c r="L511" s="1096">
        <f t="shared" si="1041"/>
        <v>106.93000000000001</v>
      </c>
      <c r="M511" s="610">
        <f t="shared" si="1041"/>
        <v>109.64</v>
      </c>
      <c r="N511" s="610">
        <f t="shared" si="1041"/>
        <v>96.14</v>
      </c>
      <c r="O511" s="610">
        <f t="shared" si="1041"/>
        <v>99.47</v>
      </c>
      <c r="P511" s="610">
        <f t="shared" si="1041"/>
        <v>114.29000000000001</v>
      </c>
      <c r="Q511" s="1096">
        <f t="shared" si="1041"/>
        <v>114.29000000000001</v>
      </c>
      <c r="R511" s="610">
        <f t="shared" si="1041"/>
        <v>117.43000000000001</v>
      </c>
      <c r="S511" s="610">
        <f t="shared" si="1041"/>
        <v>116.81</v>
      </c>
      <c r="T511" s="610">
        <f t="shared" si="1041"/>
        <v>113.87</v>
      </c>
      <c r="U511" s="610">
        <f t="shared" si="1041"/>
        <v>122.42</v>
      </c>
      <c r="V511" s="1096">
        <f t="shared" si="1041"/>
        <v>122.42</v>
      </c>
      <c r="W511" s="610">
        <f t="shared" si="1041"/>
        <v>121.03</v>
      </c>
      <c r="X511" s="610">
        <f t="shared" si="1041"/>
        <v>126.39</v>
      </c>
      <c r="Y511" s="610">
        <f t="shared" si="1041"/>
        <v>122.52</v>
      </c>
      <c r="Z511" s="610">
        <f t="shared" si="1041"/>
        <v>135.63999999999999</v>
      </c>
      <c r="AA511" s="1097">
        <f t="shared" si="1041"/>
        <v>135.63999999999999</v>
      </c>
      <c r="AB511" s="610">
        <f t="shared" si="1041"/>
        <v>138.86000000000001</v>
      </c>
      <c r="AC511" s="610">
        <f t="shared" si="1041"/>
        <v>122.34</v>
      </c>
      <c r="AD511" s="610">
        <f t="shared" si="1041"/>
        <v>129.71000000000001</v>
      </c>
      <c r="AE511" s="610">
        <f t="shared" si="1041"/>
        <v>118.23999999999999</v>
      </c>
      <c r="AF511" s="1097">
        <f t="shared" si="1041"/>
        <v>118.23999999999999</v>
      </c>
      <c r="AG511" s="610">
        <f t="shared" si="1041"/>
        <v>137.16</v>
      </c>
      <c r="AH511" s="610">
        <f t="shared" si="1041"/>
        <v>149.52000000000001</v>
      </c>
      <c r="AI511" s="610">
        <f t="shared" si="1042" ref="AI511:AV511">IF(INDEX(MO_SNA_IsHistoricalPeriod,1,COLUMN())=FALSE,MO.LastPrice,INDEX(MO_SPT_StockEoP,1,COLUMN()))</f>
        <v>148</v>
      </c>
      <c r="AJ511" s="610">
        <f t="shared" si="1042"/>
        <v>136.49000000000001</v>
      </c>
      <c r="AK511" s="1097">
        <f t="shared" si="1042"/>
        <v>136.49000000000001</v>
      </c>
      <c r="AL511" s="610">
        <f t="shared" si="1042"/>
        <v>102.59</v>
      </c>
      <c r="AM511" s="610">
        <f t="shared" si="1042"/>
        <v>112.90000000000001</v>
      </c>
      <c r="AN511" s="610">
        <f t="shared" si="1042"/>
        <v>107.44</v>
      </c>
      <c r="AO511" s="610">
        <f t="shared" si="1042"/>
        <v>139.08000000000001</v>
      </c>
      <c r="AP511" s="1097">
        <f t="shared" si="1042"/>
        <v>139.08000000000001</v>
      </c>
      <c r="AQ511" s="610">
        <f t="shared" si="1042"/>
        <v>154.03</v>
      </c>
      <c r="AR511" s="610">
        <f t="shared" si="1042"/>
        <v>149.52000000000001</v>
      </c>
      <c r="AS511" s="610">
        <f t="shared" si="1042"/>
        <v>154.88</v>
      </c>
      <c r="AT511" s="610">
        <f t="shared" si="1042"/>
        <v>156.81</v>
      </c>
      <c r="AU511" s="1097">
        <f t="shared" si="1042"/>
        <v>156.81</v>
      </c>
      <c r="AV511" s="610">
        <f t="shared" si="1042"/>
        <v>185.55</v>
      </c>
      <c r="AW511" s="610">
        <f t="shared" si="1043" ref="AW511:AZ511">IF(INDEX(MO_SNA_IsHistoricalPeriod,1,COLUMN())=FALSE,MO.LastPrice,INDEX(MO_SPT_StockEoP,1,COLUMN()))</f>
        <v>165.80</v>
      </c>
      <c r="AX511" s="610">
        <f t="shared" si="1043"/>
        <v>154.68000000000001</v>
      </c>
      <c r="AY511" s="610">
        <f t="shared" si="1043"/>
        <v>187.49</v>
      </c>
      <c r="AZ511" s="1097">
        <f t="shared" si="1043"/>
        <v>187.49</v>
      </c>
      <c r="BA511" s="610">
        <f t="shared" si="1044" ref="BA511:BR511">IF(INDEX(MO_SNA_IsHistoricalPeriod,1,COLUMN())=FALSE,MO.LastPrice,INDEX(MO_SPT_StockEoP,1,COLUMN()))</f>
        <v>170.82</v>
      </c>
      <c r="BB511" s="610">
        <f t="shared" si="1044"/>
        <v>170.99</v>
      </c>
      <c r="BC511" s="610">
        <f t="shared" si="1044"/>
        <v>163.31</v>
      </c>
      <c r="BD511" s="610">
        <f t="shared" si="1044"/>
        <v>190.49</v>
      </c>
      <c r="BE511" s="1097">
        <f t="shared" si="1044"/>
        <v>190.49</v>
      </c>
      <c r="BF511" s="610">
        <f>IF(INDEX(MO_SNA_IsHistoricalPeriod,1,COLUMN())=FALSE,MO.LastPrice,INDEX(MO_SPT_StockEoP,1,COLUMN()))</f>
        <v>230.14</v>
      </c>
      <c r="BG511" s="610">
        <f>IF(INDEX(MO_SNA_IsHistoricalPeriod,1,COLUMN())=FALSE,MO.LastPrice,INDEX(MO_SPT_StockEoP,1,COLUMN()))</f>
        <v>203.34</v>
      </c>
      <c r="BH511" s="779">
        <f>IF(INDEX(MO_SNA_IsHistoricalPeriod,1,COLUMN())=FALSE,MO.LastPrice,INDEX(MO_SPT_StockEoP,1,COLUMN()))</f>
        <v>236.11</v>
      </c>
      <c r="BI511" s="653">
        <f t="shared" ca="1" si="1044"/>
        <v>242.95</v>
      </c>
      <c r="BJ511" s="1098">
        <f t="shared" ca="1" si="1044"/>
        <v>242.95</v>
      </c>
      <c r="BK511" s="653">
        <f t="shared" ca="1" si="1044"/>
        <v>242.95</v>
      </c>
      <c r="BL511" s="653">
        <f t="shared" ca="1" si="1044"/>
        <v>242.95</v>
      </c>
      <c r="BM511" s="653">
        <f t="shared" ca="1" si="1044"/>
        <v>242.95</v>
      </c>
      <c r="BN511" s="653">
        <f t="shared" ca="1" si="1044"/>
        <v>242.95</v>
      </c>
      <c r="BO511" s="1098">
        <f t="shared" ca="1" si="1044"/>
        <v>242.95</v>
      </c>
      <c r="BP511" s="1098">
        <f t="shared" ca="1" si="1044"/>
        <v>242.95</v>
      </c>
      <c r="BQ511" s="1098">
        <f t="shared" ca="1" si="1044"/>
        <v>242.95</v>
      </c>
      <c r="BR511" s="1098">
        <f t="shared" ca="1" si="1044"/>
        <v>242.95</v>
      </c>
      <c r="BS511" s="287"/>
    </row>
    <row r="512" spans="1:71" s="292" customFormat="1" ht="15" hidden="1" outlineLevel="1">
      <c r="A512" s="298" t="str">
        <f ca="1">"Average FX Rate, "&amp;HP.TradeCurrency&amp;"/"&amp;MO.ReportCurrency</f>
        <v>Average FX Rate, USD/USD</v>
      </c>
      <c r="B512" s="508"/>
      <c r="C512" s="1099">
        <f ca="1" t="shared" si="1045" ref="C512:AQ512">IF(INDEX(MO_SPT_FXAverage,1,COLUMN())=0,1,INDEX(MO_SPT_FXAverage,1,COLUMN()))</f>
        <v>1</v>
      </c>
      <c r="D512" s="1099">
        <f t="shared" ca="1" si="1045"/>
        <v>1</v>
      </c>
      <c r="E512" s="1099">
        <f t="shared" ca="1" si="1045"/>
        <v>1</v>
      </c>
      <c r="F512" s="1099">
        <f t="shared" ca="1" si="1045"/>
        <v>1</v>
      </c>
      <c r="G512" s="1099">
        <f t="shared" ca="1" si="1045"/>
        <v>1</v>
      </c>
      <c r="H512" s="613">
        <f t="shared" ca="1" si="1045"/>
        <v>1</v>
      </c>
      <c r="I512" s="613">
        <f t="shared" ca="1" si="1045"/>
        <v>1</v>
      </c>
      <c r="J512" s="613">
        <f t="shared" ca="1" si="1045"/>
        <v>1</v>
      </c>
      <c r="K512" s="613">
        <f t="shared" ca="1" si="1045"/>
        <v>1</v>
      </c>
      <c r="L512" s="1099">
        <f t="shared" ca="1" si="1045"/>
        <v>1</v>
      </c>
      <c r="M512" s="613">
        <f t="shared" ca="1" si="1045"/>
        <v>1</v>
      </c>
      <c r="N512" s="613">
        <f t="shared" ca="1" si="1045"/>
        <v>1</v>
      </c>
      <c r="O512" s="613">
        <f t="shared" ca="1" si="1045"/>
        <v>1</v>
      </c>
      <c r="P512" s="613">
        <f t="shared" ca="1" si="1045"/>
        <v>1</v>
      </c>
      <c r="Q512" s="1099">
        <f t="shared" ca="1" si="1045"/>
        <v>1</v>
      </c>
      <c r="R512" s="613">
        <f t="shared" ca="1" si="1045"/>
        <v>1</v>
      </c>
      <c r="S512" s="613">
        <f t="shared" ca="1" si="1045"/>
        <v>1</v>
      </c>
      <c r="T512" s="613">
        <f t="shared" ca="1" si="1045"/>
        <v>1</v>
      </c>
      <c r="U512" s="613">
        <f t="shared" ca="1" si="1045"/>
        <v>1</v>
      </c>
      <c r="V512" s="1099">
        <f t="shared" ca="1" si="1045"/>
        <v>1</v>
      </c>
      <c r="W512" s="613">
        <f t="shared" ca="1" si="1045"/>
        <v>1</v>
      </c>
      <c r="X512" s="613">
        <f t="shared" ca="1" si="1045"/>
        <v>1</v>
      </c>
      <c r="Y512" s="613">
        <f t="shared" ca="1" si="1045"/>
        <v>1</v>
      </c>
      <c r="Z512" s="613">
        <f t="shared" ca="1" si="1045"/>
        <v>1</v>
      </c>
      <c r="AA512" s="1100">
        <f t="shared" ca="1" si="1045"/>
        <v>1</v>
      </c>
      <c r="AB512" s="613">
        <f t="shared" ca="1" si="1045"/>
        <v>1</v>
      </c>
      <c r="AC512" s="613">
        <f t="shared" ca="1" si="1045"/>
        <v>1</v>
      </c>
      <c r="AD512" s="613">
        <f t="shared" ca="1" si="1045"/>
        <v>1</v>
      </c>
      <c r="AE512" s="613">
        <f t="shared" ca="1" si="1045"/>
        <v>1</v>
      </c>
      <c r="AF512" s="1100">
        <f t="shared" ca="1" si="1045"/>
        <v>1</v>
      </c>
      <c r="AG512" s="613">
        <f t="shared" ca="1" si="1045"/>
        <v>1</v>
      </c>
      <c r="AH512" s="613">
        <f t="shared" ca="1" si="1045"/>
        <v>1</v>
      </c>
      <c r="AI512" s="613">
        <f t="shared" ca="1" si="1045"/>
        <v>1</v>
      </c>
      <c r="AJ512" s="613">
        <f t="shared" ca="1" si="1045"/>
        <v>1</v>
      </c>
      <c r="AK512" s="1100">
        <f t="shared" ca="1" si="1045"/>
        <v>1</v>
      </c>
      <c r="AL512" s="613">
        <f t="shared" ca="1" si="1045"/>
        <v>1</v>
      </c>
      <c r="AM512" s="613">
        <f t="shared" ca="1" si="1045"/>
        <v>1</v>
      </c>
      <c r="AN512" s="613">
        <f ca="1">IF(INDEX(MO_SPT_FXAverage,1,COLUMN())=0,1,INDEX(MO_SPT_FXAverage,1,COLUMN()))</f>
        <v>1</v>
      </c>
      <c r="AO512" s="613">
        <f t="shared" ca="1" si="1045"/>
        <v>1</v>
      </c>
      <c r="AP512" s="1100">
        <f t="shared" ca="1" si="1045"/>
        <v>1</v>
      </c>
      <c r="AQ512" s="613">
        <f t="shared" ca="1" si="1045"/>
        <v>1</v>
      </c>
      <c r="AR512" s="613">
        <f ca="1" t="shared" si="1046" ref="AR512:AW512">IF(INDEX(MO_SPT_FXAverage,1,COLUMN())=0,1,INDEX(MO_SPT_FXAverage,1,COLUMN()))</f>
        <v>1</v>
      </c>
      <c r="AS512" s="613">
        <f t="shared" ca="1" si="1046"/>
        <v>1</v>
      </c>
      <c r="AT512" s="613">
        <f t="shared" ca="1" si="1046"/>
        <v>1</v>
      </c>
      <c r="AU512" s="1100">
        <f t="shared" ca="1" si="1046"/>
        <v>1</v>
      </c>
      <c r="AV512" s="613">
        <f t="shared" ca="1" si="1046"/>
        <v>1</v>
      </c>
      <c r="AW512" s="613">
        <f t="shared" ca="1" si="1046"/>
        <v>1</v>
      </c>
      <c r="AX512" s="613">
        <f ca="1" t="shared" si="1047" ref="AX512:BJ512">IF(INDEX(MO_SPT_FXAverage,1,COLUMN())=0,1,INDEX(MO_SPT_FXAverage,1,COLUMN()))</f>
        <v>1</v>
      </c>
      <c r="AY512" s="613">
        <f t="shared" ca="1" si="1047"/>
        <v>1</v>
      </c>
      <c r="AZ512" s="1100">
        <f t="shared" ca="1" si="1047"/>
        <v>1</v>
      </c>
      <c r="BA512" s="613">
        <f ca="1" t="shared" si="1048" ref="BA512:BI512">IF(INDEX(MO_SPT_FXAverage,1,COLUMN())=0,1,INDEX(MO_SPT_FXAverage,1,COLUMN()))</f>
        <v>1</v>
      </c>
      <c r="BB512" s="613">
        <f t="shared" ca="1" si="1048"/>
        <v>1</v>
      </c>
      <c r="BC512" s="613">
        <f t="shared" ca="1" si="1048"/>
        <v>1</v>
      </c>
      <c r="BD512" s="613">
        <f t="shared" ca="1" si="1048"/>
        <v>1</v>
      </c>
      <c r="BE512" s="1100">
        <f t="shared" ca="1" si="1048"/>
        <v>1</v>
      </c>
      <c r="BF512" s="613">
        <f ca="1">IF(INDEX(MO_SPT_FXAverage,1,COLUMN())=0,1,INDEX(MO_SPT_FXAverage,1,COLUMN()))</f>
        <v>1</v>
      </c>
      <c r="BG512" s="613">
        <f ca="1">IF(INDEX(MO_SPT_FXAverage,1,COLUMN())=0,1,INDEX(MO_SPT_FXAverage,1,COLUMN()))</f>
        <v>1</v>
      </c>
      <c r="BH512" s="780">
        <f ca="1">IF(INDEX(MO_SPT_FXAverage,1,COLUMN())=0,1,INDEX(MO_SPT_FXAverage,1,COLUMN()))</f>
        <v>1</v>
      </c>
      <c r="BI512" s="654">
        <f t="shared" ca="1" si="1048"/>
        <v>1</v>
      </c>
      <c r="BJ512" s="1101">
        <f t="shared" ca="1" si="1047"/>
        <v>1</v>
      </c>
      <c r="BK512" s="654">
        <f ca="1" t="shared" si="1049" ref="BK512:BR512">IF(INDEX(MO_SPT_FXAverage,1,COLUMN())=0,1,INDEX(MO_SPT_FXAverage,1,COLUMN()))</f>
        <v>1</v>
      </c>
      <c r="BL512" s="654">
        <f t="shared" ca="1" si="1049"/>
        <v>1</v>
      </c>
      <c r="BM512" s="654">
        <f t="shared" ca="1" si="1049"/>
        <v>1</v>
      </c>
      <c r="BN512" s="654">
        <f t="shared" ca="1" si="1049"/>
        <v>1</v>
      </c>
      <c r="BO512" s="1101">
        <f t="shared" ca="1" si="1049"/>
        <v>1</v>
      </c>
      <c r="BP512" s="1101">
        <f t="shared" ca="1" si="1049"/>
        <v>1</v>
      </c>
      <c r="BQ512" s="1101">
        <f t="shared" ca="1" si="1049"/>
        <v>1</v>
      </c>
      <c r="BR512" s="1101">
        <f t="shared" ca="1" si="1049"/>
        <v>1</v>
      </c>
      <c r="BS512" s="291"/>
    </row>
    <row r="513" spans="1:71" s="292" customFormat="1" ht="15" hidden="1" outlineLevel="1">
      <c r="A513" s="298" t="str">
        <f ca="1">"EoP FX Rate, "&amp;HP.TradeCurrency&amp;"/"&amp;MO.ReportCurrency</f>
        <v>EoP FX Rate, USD/USD</v>
      </c>
      <c r="B513" s="508"/>
      <c r="C513" s="1099">
        <f t="shared" si="1050" ref="C513:AH513">IF(INDEX(MO_SNA_IsHistoricalPeriod,1,COLUMN())=FALSE,HP.MRFX,INDEX(MO_SPT_FXEoP,1,COLUMN()))</f>
        <v>1</v>
      </c>
      <c r="D513" s="1099">
        <f t="shared" si="1050"/>
        <v>1</v>
      </c>
      <c r="E513" s="1099">
        <f t="shared" si="1050"/>
        <v>1</v>
      </c>
      <c r="F513" s="1099">
        <f t="shared" si="1050"/>
        <v>1</v>
      </c>
      <c r="G513" s="1099">
        <f t="shared" si="1050"/>
        <v>1</v>
      </c>
      <c r="H513" s="613">
        <f t="shared" si="1050"/>
        <v>1</v>
      </c>
      <c r="I513" s="613">
        <f t="shared" si="1050"/>
        <v>1</v>
      </c>
      <c r="J513" s="613">
        <f t="shared" si="1050"/>
        <v>1</v>
      </c>
      <c r="K513" s="613">
        <f t="shared" si="1050"/>
        <v>1</v>
      </c>
      <c r="L513" s="1099">
        <f t="shared" si="1050"/>
        <v>1</v>
      </c>
      <c r="M513" s="613">
        <f t="shared" si="1050"/>
        <v>1</v>
      </c>
      <c r="N513" s="613">
        <f t="shared" si="1050"/>
        <v>1</v>
      </c>
      <c r="O513" s="613">
        <f t="shared" si="1050"/>
        <v>1</v>
      </c>
      <c r="P513" s="613">
        <f t="shared" si="1050"/>
        <v>1</v>
      </c>
      <c r="Q513" s="1099">
        <f t="shared" si="1050"/>
        <v>1</v>
      </c>
      <c r="R513" s="613">
        <f t="shared" si="1050"/>
        <v>1</v>
      </c>
      <c r="S513" s="613">
        <f t="shared" si="1050"/>
        <v>1</v>
      </c>
      <c r="T513" s="613">
        <f t="shared" si="1050"/>
        <v>1</v>
      </c>
      <c r="U513" s="613">
        <f t="shared" si="1050"/>
        <v>1</v>
      </c>
      <c r="V513" s="1099">
        <f t="shared" si="1050"/>
        <v>1</v>
      </c>
      <c r="W513" s="613">
        <f t="shared" si="1050"/>
        <v>1</v>
      </c>
      <c r="X513" s="613">
        <f t="shared" si="1050"/>
        <v>1</v>
      </c>
      <c r="Y513" s="613">
        <f t="shared" si="1050"/>
        <v>1</v>
      </c>
      <c r="Z513" s="613">
        <f t="shared" si="1050"/>
        <v>1</v>
      </c>
      <c r="AA513" s="1100">
        <f t="shared" si="1050"/>
        <v>1</v>
      </c>
      <c r="AB513" s="613">
        <f t="shared" si="1050"/>
        <v>1</v>
      </c>
      <c r="AC513" s="613">
        <f t="shared" si="1050"/>
        <v>1</v>
      </c>
      <c r="AD513" s="613">
        <f t="shared" si="1050"/>
        <v>1</v>
      </c>
      <c r="AE513" s="613">
        <f t="shared" si="1050"/>
        <v>1</v>
      </c>
      <c r="AF513" s="1100">
        <f t="shared" si="1050"/>
        <v>1</v>
      </c>
      <c r="AG513" s="613">
        <f t="shared" si="1050"/>
        <v>1</v>
      </c>
      <c r="AH513" s="613">
        <f t="shared" si="1050"/>
        <v>1</v>
      </c>
      <c r="AI513" s="613">
        <f t="shared" si="1051" ref="AI513:AV513">IF(INDEX(MO_SNA_IsHistoricalPeriod,1,COLUMN())=FALSE,HP.MRFX,INDEX(MO_SPT_FXEoP,1,COLUMN()))</f>
        <v>1</v>
      </c>
      <c r="AJ513" s="613">
        <f t="shared" si="1051"/>
        <v>1</v>
      </c>
      <c r="AK513" s="1100">
        <f t="shared" si="1051"/>
        <v>1</v>
      </c>
      <c r="AL513" s="613">
        <f t="shared" si="1051"/>
        <v>1</v>
      </c>
      <c r="AM513" s="613">
        <f t="shared" si="1051"/>
        <v>1</v>
      </c>
      <c r="AN513" s="613">
        <f t="shared" si="1051"/>
        <v>1</v>
      </c>
      <c r="AO513" s="613">
        <f t="shared" si="1051"/>
        <v>1</v>
      </c>
      <c r="AP513" s="1100">
        <f t="shared" si="1051"/>
        <v>1</v>
      </c>
      <c r="AQ513" s="613">
        <f t="shared" si="1051"/>
        <v>1</v>
      </c>
      <c r="AR513" s="613">
        <f t="shared" si="1051"/>
        <v>1</v>
      </c>
      <c r="AS513" s="613">
        <f t="shared" si="1051"/>
        <v>1</v>
      </c>
      <c r="AT513" s="613">
        <f t="shared" si="1051"/>
        <v>1</v>
      </c>
      <c r="AU513" s="1100">
        <f t="shared" si="1051"/>
        <v>1</v>
      </c>
      <c r="AV513" s="613">
        <f t="shared" si="1051"/>
        <v>1</v>
      </c>
      <c r="AW513" s="613">
        <f t="shared" si="1052" ref="AW513:AZ513">IF(INDEX(MO_SNA_IsHistoricalPeriod,1,COLUMN())=FALSE,HP.MRFX,INDEX(MO_SPT_FXEoP,1,COLUMN()))</f>
        <v>1</v>
      </c>
      <c r="AX513" s="613">
        <f t="shared" si="1052"/>
        <v>1</v>
      </c>
      <c r="AY513" s="613">
        <f t="shared" si="1052"/>
        <v>1</v>
      </c>
      <c r="AZ513" s="1100">
        <f t="shared" si="1052"/>
        <v>1</v>
      </c>
      <c r="BA513" s="613">
        <f t="shared" si="1053" ref="BA513:BR513">IF(INDEX(MO_SNA_IsHistoricalPeriod,1,COLUMN())=FALSE,HP.MRFX,INDEX(MO_SPT_FXEoP,1,COLUMN()))</f>
        <v>1</v>
      </c>
      <c r="BB513" s="613">
        <f t="shared" si="1053"/>
        <v>1</v>
      </c>
      <c r="BC513" s="613">
        <f t="shared" si="1053"/>
        <v>1</v>
      </c>
      <c r="BD513" s="613">
        <f t="shared" si="1053"/>
        <v>1</v>
      </c>
      <c r="BE513" s="1100">
        <f t="shared" si="1053"/>
        <v>1</v>
      </c>
      <c r="BF513" s="613">
        <f>IF(INDEX(MO_SNA_IsHistoricalPeriod,1,COLUMN())=FALSE,HP.MRFX,INDEX(MO_SPT_FXEoP,1,COLUMN()))</f>
        <v>1</v>
      </c>
      <c r="BG513" s="613">
        <f>IF(INDEX(MO_SNA_IsHistoricalPeriod,1,COLUMN())=FALSE,HP.MRFX,INDEX(MO_SPT_FXEoP,1,COLUMN()))</f>
        <v>1</v>
      </c>
      <c r="BH513" s="780">
        <f>IF(INDEX(MO_SNA_IsHistoricalPeriod,1,COLUMN())=FALSE,HP.MRFX,INDEX(MO_SPT_FXEoP,1,COLUMN()))</f>
        <v>1</v>
      </c>
      <c r="BI513" s="654">
        <f t="shared" ca="1" si="1053"/>
        <v>1</v>
      </c>
      <c r="BJ513" s="1101">
        <f t="shared" ca="1" si="1053"/>
        <v>1</v>
      </c>
      <c r="BK513" s="654">
        <f t="shared" ca="1" si="1053"/>
        <v>1</v>
      </c>
      <c r="BL513" s="654">
        <f t="shared" ca="1" si="1053"/>
        <v>1</v>
      </c>
      <c r="BM513" s="654">
        <f t="shared" ca="1" si="1053"/>
        <v>1</v>
      </c>
      <c r="BN513" s="654">
        <f t="shared" ca="1" si="1053"/>
        <v>1</v>
      </c>
      <c r="BO513" s="1101">
        <f t="shared" ca="1" si="1053"/>
        <v>1</v>
      </c>
      <c r="BP513" s="1101">
        <f t="shared" ca="1" si="1053"/>
        <v>1</v>
      </c>
      <c r="BQ513" s="1101">
        <f t="shared" ca="1" si="1053"/>
        <v>1</v>
      </c>
      <c r="BR513" s="1101">
        <f t="shared" ca="1" si="1053"/>
        <v>1</v>
      </c>
      <c r="BS513" s="291"/>
    </row>
    <row r="514" spans="1:71" s="288" customFormat="1" ht="15" hidden="1" outlineLevel="1">
      <c r="A514" s="294" t="str">
        <f ca="1">"Stock Price (Trading Cur.) - "&amp;MO.ValuationToggle&amp;", "&amp;HP.TradeCurrency</f>
        <v>Stock Price (Trading Cur.) - EoP, USD</v>
      </c>
      <c r="B514" s="507"/>
      <c r="C514" s="1093">
        <f t="shared" si="1054" ref="C514:AH514">IF(INDEX(MO_SNA_IsHistoricalPeriod,1,COLUMN())=FALSE,MO.LastPrice,CHOOSE(VLOOKUP(MO.ValuationToggle,tb_ValuationToggle,COLUMNS(tb_ValuationToggle),FALSE),C508,C509,C510,C511))</f>
        <v>50.26</v>
      </c>
      <c r="D514" s="1093">
        <f t="shared" si="1054"/>
        <v>55.54</v>
      </c>
      <c r="E514" s="1093">
        <f t="shared" si="1054"/>
        <v>59.17</v>
      </c>
      <c r="F514" s="1093">
        <f t="shared" si="1054"/>
        <v>71.239999999999995</v>
      </c>
      <c r="G514" s="1093">
        <f t="shared" si="1054"/>
        <v>90.28</v>
      </c>
      <c r="H514" s="297">
        <f t="shared" si="1054"/>
        <v>83.99</v>
      </c>
      <c r="I514" s="297">
        <f t="shared" si="1054"/>
        <v>93.92</v>
      </c>
      <c r="J514" s="297">
        <f t="shared" si="1054"/>
        <v>93.77</v>
      </c>
      <c r="K514" s="297">
        <f t="shared" si="1054"/>
        <v>106.93000000000001</v>
      </c>
      <c r="L514" s="1093">
        <f t="shared" si="1054"/>
        <v>106.93000000000001</v>
      </c>
      <c r="M514" s="297">
        <f t="shared" si="1054"/>
        <v>109.64</v>
      </c>
      <c r="N514" s="297">
        <f t="shared" si="1054"/>
        <v>96.14</v>
      </c>
      <c r="O514" s="297">
        <f t="shared" si="1054"/>
        <v>99.47</v>
      </c>
      <c r="P514" s="297">
        <f t="shared" si="1054"/>
        <v>114.29000000000001</v>
      </c>
      <c r="Q514" s="1093">
        <f t="shared" si="1054"/>
        <v>114.29000000000001</v>
      </c>
      <c r="R514" s="297">
        <f t="shared" si="1054"/>
        <v>117.43000000000001</v>
      </c>
      <c r="S514" s="297">
        <f t="shared" si="1054"/>
        <v>116.81</v>
      </c>
      <c r="T514" s="297">
        <f t="shared" si="1054"/>
        <v>113.87</v>
      </c>
      <c r="U514" s="297">
        <f t="shared" si="1054"/>
        <v>122.42</v>
      </c>
      <c r="V514" s="1093">
        <f t="shared" si="1054"/>
        <v>122.42</v>
      </c>
      <c r="W514" s="297">
        <f t="shared" si="1054"/>
        <v>121.03</v>
      </c>
      <c r="X514" s="297">
        <f t="shared" si="1054"/>
        <v>126.39</v>
      </c>
      <c r="Y514" s="297">
        <f t="shared" si="1054"/>
        <v>122.52</v>
      </c>
      <c r="Z514" s="297">
        <f t="shared" si="1054"/>
        <v>135.63999999999999</v>
      </c>
      <c r="AA514" s="1094">
        <f t="shared" si="1054"/>
        <v>135.63999999999999</v>
      </c>
      <c r="AB514" s="297">
        <f t="shared" si="1054"/>
        <v>138.86000000000001</v>
      </c>
      <c r="AC514" s="297">
        <f t="shared" si="1054"/>
        <v>122.34</v>
      </c>
      <c r="AD514" s="297">
        <f t="shared" si="1054"/>
        <v>129.71000000000001</v>
      </c>
      <c r="AE514" s="297">
        <f t="shared" si="1054"/>
        <v>118.23999999999999</v>
      </c>
      <c r="AF514" s="1094">
        <f t="shared" si="1054"/>
        <v>118.23999999999999</v>
      </c>
      <c r="AG514" s="297">
        <f t="shared" si="1054"/>
        <v>137.16</v>
      </c>
      <c r="AH514" s="297">
        <f t="shared" si="1054"/>
        <v>149.52000000000001</v>
      </c>
      <c r="AI514" s="297">
        <f t="shared" si="1055" ref="AI514:BJ514">IF(INDEX(MO_SNA_IsHistoricalPeriod,1,COLUMN())=FALSE,MO.LastPrice,CHOOSE(VLOOKUP(MO.ValuationToggle,tb_ValuationToggle,COLUMNS(tb_ValuationToggle),FALSE),AI508,AI509,AI510,AI511))</f>
        <v>148</v>
      </c>
      <c r="AJ514" s="297">
        <f t="shared" si="1055"/>
        <v>136.49000000000001</v>
      </c>
      <c r="AK514" s="1094">
        <f t="shared" si="1055"/>
        <v>136.49000000000001</v>
      </c>
      <c r="AL514" s="297">
        <f t="shared" si="1055"/>
        <v>102.59</v>
      </c>
      <c r="AM514" s="297">
        <f t="shared" si="1055"/>
        <v>112.90000000000001</v>
      </c>
      <c r="AN514" s="297">
        <f t="shared" si="1055"/>
        <v>107.44</v>
      </c>
      <c r="AO514" s="297">
        <f t="shared" si="1055"/>
        <v>139.08000000000001</v>
      </c>
      <c r="AP514" s="1094">
        <f t="shared" si="1055"/>
        <v>139.08000000000001</v>
      </c>
      <c r="AQ514" s="297">
        <f t="shared" si="1055"/>
        <v>154.03</v>
      </c>
      <c r="AR514" s="297">
        <f t="shared" si="1055"/>
        <v>149.52000000000001</v>
      </c>
      <c r="AS514" s="297">
        <f t="shared" si="1055"/>
        <v>154.88</v>
      </c>
      <c r="AT514" s="297">
        <f t="shared" si="1055"/>
        <v>156.81</v>
      </c>
      <c r="AU514" s="1094">
        <f t="shared" si="1055"/>
        <v>156.81</v>
      </c>
      <c r="AV514" s="297">
        <f t="shared" si="1055"/>
        <v>185.55</v>
      </c>
      <c r="AW514" s="297">
        <f t="shared" si="1055"/>
        <v>165.80</v>
      </c>
      <c r="AX514" s="297">
        <f t="shared" si="1055"/>
        <v>154.68000000000001</v>
      </c>
      <c r="AY514" s="297">
        <f t="shared" si="1055"/>
        <v>187.49</v>
      </c>
      <c r="AZ514" s="1094">
        <f t="shared" si="1055"/>
        <v>187.49</v>
      </c>
      <c r="BA514" s="297">
        <f t="shared" si="1055"/>
        <v>170.82</v>
      </c>
      <c r="BB514" s="297">
        <f t="shared" si="1055"/>
        <v>170.99</v>
      </c>
      <c r="BC514" s="297">
        <f t="shared" si="1055"/>
        <v>163.31</v>
      </c>
      <c r="BD514" s="297">
        <f t="shared" si="1056" ref="BD514:BI514">IF(INDEX(MO_SNA_IsHistoricalPeriod,1,COLUMN())=FALSE,MO.LastPrice,CHOOSE(VLOOKUP(MO.ValuationToggle,tb_ValuationToggle,COLUMNS(tb_ValuationToggle),FALSE),BD508,BD509,BD510,BD511))</f>
        <v>190.49</v>
      </c>
      <c r="BE514" s="1094">
        <f t="shared" si="1056"/>
        <v>190.49</v>
      </c>
      <c r="BF514" s="297">
        <f>IF(INDEX(MO_SNA_IsHistoricalPeriod,1,COLUMN())=FALSE,MO.LastPrice,CHOOSE(VLOOKUP(MO.ValuationToggle,tb_ValuationToggle,COLUMNS(tb_ValuationToggle),FALSE),BF508,BF509,BF510,BF511))</f>
        <v>230.14</v>
      </c>
      <c r="BG514" s="297">
        <f>IF(INDEX(MO_SNA_IsHistoricalPeriod,1,COLUMN())=FALSE,MO.LastPrice,CHOOSE(VLOOKUP(MO.ValuationToggle,tb_ValuationToggle,COLUMNS(tb_ValuationToggle),FALSE),BG508,BG509,BG510,BG511))</f>
        <v>203.34</v>
      </c>
      <c r="BH514" s="778">
        <f>IF(INDEX(MO_SNA_IsHistoricalPeriod,1,COLUMN())=FALSE,MO.LastPrice,CHOOSE(VLOOKUP(MO.ValuationToggle,tb_ValuationToggle,COLUMNS(tb_ValuationToggle),FALSE),BH508,BH509,BH510,BH511))</f>
        <v>236.11</v>
      </c>
      <c r="BI514" s="652">
        <f t="shared" ca="1" si="1056"/>
        <v>242.95</v>
      </c>
      <c r="BJ514" s="1095">
        <f t="shared" ca="1" si="1055"/>
        <v>242.95</v>
      </c>
      <c r="BK514" s="652">
        <f ca="1" t="shared" si="1057" ref="BK514:BR514">IF(INDEX(MO_SNA_IsHistoricalPeriod,1,COLUMN())=FALSE,MO.LastPrice,CHOOSE(VLOOKUP(MO.ValuationToggle,tb_ValuationToggle,COLUMNS(tb_ValuationToggle),FALSE),BK508,BK509,BK510,BK511))</f>
        <v>242.95</v>
      </c>
      <c r="BL514" s="652">
        <f t="shared" ca="1" si="1057"/>
        <v>242.95</v>
      </c>
      <c r="BM514" s="652">
        <f t="shared" ca="1" si="1057"/>
        <v>242.95</v>
      </c>
      <c r="BN514" s="652">
        <f t="shared" ca="1" si="1057"/>
        <v>242.95</v>
      </c>
      <c r="BO514" s="1095">
        <f t="shared" ca="1" si="1057"/>
        <v>242.95</v>
      </c>
      <c r="BP514" s="1095">
        <f t="shared" ca="1" si="1057"/>
        <v>242.95</v>
      </c>
      <c r="BQ514" s="1095">
        <f t="shared" ca="1" si="1057"/>
        <v>242.95</v>
      </c>
      <c r="BR514" s="1095">
        <f t="shared" ca="1" si="1057"/>
        <v>242.95</v>
      </c>
      <c r="BS514" s="287"/>
    </row>
    <row r="515" spans="1:71" s="24" customFormat="1" ht="15" collapsed="1">
      <c r="A515" s="509"/>
      <c r="B515" s="462"/>
      <c r="C515" s="1011"/>
      <c r="D515" s="1011"/>
      <c r="E515" s="1011"/>
      <c r="F515" s="1011"/>
      <c r="G515" s="1011"/>
      <c r="H515" s="857"/>
      <c r="I515" s="857"/>
      <c r="J515" s="857"/>
      <c r="K515" s="857"/>
      <c r="L515" s="1011"/>
      <c r="M515" s="857"/>
      <c r="N515" s="857"/>
      <c r="O515" s="857"/>
      <c r="P515" s="857"/>
      <c r="Q515" s="1011"/>
      <c r="R515" s="857"/>
      <c r="S515" s="857"/>
      <c r="T515" s="857"/>
      <c r="U515" s="857"/>
      <c r="V515" s="1011"/>
      <c r="W515" s="857"/>
      <c r="X515" s="857"/>
      <c r="Y515" s="857"/>
      <c r="Z515" s="857"/>
      <c r="AA515" s="1011"/>
      <c r="AB515" s="857"/>
      <c r="AC515" s="857"/>
      <c r="AD515" s="857"/>
      <c r="AE515" s="857"/>
      <c r="AF515" s="1011"/>
      <c r="AG515" s="857"/>
      <c r="AH515" s="857"/>
      <c r="AI515" s="857"/>
      <c r="AJ515" s="857"/>
      <c r="AK515" s="1011"/>
      <c r="AL515" s="857"/>
      <c r="AM515" s="857"/>
      <c r="AN515" s="857"/>
      <c r="AO515" s="857"/>
      <c r="AP515" s="1011"/>
      <c r="AQ515" s="857"/>
      <c r="AR515" s="857"/>
      <c r="AS515" s="857"/>
      <c r="AT515" s="857"/>
      <c r="AU515" s="1011"/>
      <c r="AV515" s="857"/>
      <c r="AW515" s="857"/>
      <c r="AX515" s="857"/>
      <c r="AY515" s="857"/>
      <c r="AZ515" s="1011"/>
      <c r="BA515" s="857"/>
      <c r="BB515" s="857"/>
      <c r="BC515" s="857"/>
      <c r="BD515" s="857"/>
      <c r="BE515" s="1011"/>
      <c r="BF515" s="857"/>
      <c r="BG515" s="857"/>
      <c r="BH515" s="858"/>
      <c r="BI515" s="857"/>
      <c r="BJ515" s="1011"/>
      <c r="BK515" s="857"/>
      <c r="BL515" s="857"/>
      <c r="BM515" s="857"/>
      <c r="BN515" s="857"/>
      <c r="BO515" s="1011"/>
      <c r="BP515" s="1011"/>
      <c r="BQ515" s="1011"/>
      <c r="BR515" s="1011"/>
      <c r="BS515" s="833"/>
    </row>
    <row r="516" spans="1:71" s="181" customFormat="1" ht="15">
      <c r="A516" s="826" t="s">
        <v>187</v>
      </c>
      <c r="B516" s="826"/>
      <c r="C516" s="847"/>
      <c r="D516" s="847"/>
      <c r="E516" s="847"/>
      <c r="F516" s="847"/>
      <c r="G516" s="847"/>
      <c r="H516" s="847"/>
      <c r="I516" s="847"/>
      <c r="J516" s="847"/>
      <c r="K516" s="847"/>
      <c r="L516" s="847"/>
      <c r="M516" s="847"/>
      <c r="N516" s="847"/>
      <c r="O516" s="847"/>
      <c r="P516" s="847"/>
      <c r="Q516" s="847"/>
      <c r="R516" s="847"/>
      <c r="S516" s="847"/>
      <c r="T516" s="847"/>
      <c r="U516" s="847"/>
      <c r="V516" s="847"/>
      <c r="W516" s="847"/>
      <c r="X516" s="847"/>
      <c r="Y516" s="847"/>
      <c r="Z516" s="847"/>
      <c r="AA516" s="847"/>
      <c r="AB516" s="847"/>
      <c r="AC516" s="847"/>
      <c r="AD516" s="847"/>
      <c r="AE516" s="847"/>
      <c r="AF516" s="847"/>
      <c r="AG516" s="847"/>
      <c r="AH516" s="847"/>
      <c r="AI516" s="847"/>
      <c r="AJ516" s="847"/>
      <c r="AK516" s="847"/>
      <c r="AL516" s="847"/>
      <c r="AM516" s="847"/>
      <c r="AN516" s="847"/>
      <c r="AO516" s="847"/>
      <c r="AP516" s="847"/>
      <c r="AQ516" s="847"/>
      <c r="AR516" s="847"/>
      <c r="AS516" s="847"/>
      <c r="AT516" s="847"/>
      <c r="AU516" s="847"/>
      <c r="AV516" s="847"/>
      <c r="AW516" s="847"/>
      <c r="AX516" s="847"/>
      <c r="AY516" s="847"/>
      <c r="AZ516" s="847"/>
      <c r="BA516" s="847"/>
      <c r="BB516" s="847"/>
      <c r="BC516" s="847"/>
      <c r="BD516" s="847"/>
      <c r="BE516" s="847"/>
      <c r="BF516" s="847"/>
      <c r="BG516" s="847"/>
      <c r="BH516" s="848"/>
      <c r="BI516" s="847"/>
      <c r="BJ516" s="847"/>
      <c r="BK516" s="847"/>
      <c r="BL516" s="847"/>
      <c r="BM516" s="847"/>
      <c r="BN516" s="847"/>
      <c r="BO516" s="847"/>
      <c r="BP516" s="847"/>
      <c r="BQ516" s="847"/>
      <c r="BR516" s="847"/>
      <c r="BS516" s="423"/>
    </row>
    <row r="517" spans="1:71" s="181" customFormat="1" ht="15" hidden="1" outlineLevel="1">
      <c r="A517" s="183" t="s">
        <v>188</v>
      </c>
      <c r="B517" s="480"/>
      <c r="C517" s="1009"/>
      <c r="D517" s="1009"/>
      <c r="E517" s="1009"/>
      <c r="F517" s="1009"/>
      <c r="G517" s="1009"/>
      <c r="H517" s="199"/>
      <c r="I517" s="199"/>
      <c r="J517" s="199"/>
      <c r="K517" s="199"/>
      <c r="L517" s="1009"/>
      <c r="M517" s="199"/>
      <c r="N517" s="199"/>
      <c r="O517" s="199"/>
      <c r="P517" s="199"/>
      <c r="Q517" s="1009"/>
      <c r="R517" s="199"/>
      <c r="S517" s="199"/>
      <c r="T517" s="199"/>
      <c r="U517" s="199"/>
      <c r="V517" s="1009"/>
      <c r="W517" s="199"/>
      <c r="X517" s="199"/>
      <c r="Y517" s="199"/>
      <c r="Z517" s="199"/>
      <c r="AA517" s="1009"/>
      <c r="AB517" s="199"/>
      <c r="AC517" s="199"/>
      <c r="AD517" s="199"/>
      <c r="AE517" s="199"/>
      <c r="AF517" s="1009"/>
      <c r="AG517" s="199"/>
      <c r="AH517" s="199"/>
      <c r="AI517" s="199"/>
      <c r="AJ517" s="199"/>
      <c r="AK517" s="1009"/>
      <c r="AL517" s="199"/>
      <c r="AM517" s="199"/>
      <c r="AN517" s="199"/>
      <c r="AO517" s="199"/>
      <c r="AP517" s="1009"/>
      <c r="AQ517" s="199"/>
      <c r="AR517" s="199"/>
      <c r="AS517" s="199"/>
      <c r="AT517" s="199"/>
      <c r="AU517" s="1009"/>
      <c r="AV517" s="199"/>
      <c r="AW517" s="199"/>
      <c r="AX517" s="199"/>
      <c r="AY517" s="199"/>
      <c r="AZ517" s="1009"/>
      <c r="BA517" s="199"/>
      <c r="BB517" s="199"/>
      <c r="BC517" s="199"/>
      <c r="BD517" s="199"/>
      <c r="BE517" s="1009"/>
      <c r="BF517" s="199"/>
      <c r="BG517" s="199"/>
      <c r="BH517" s="554"/>
      <c r="BI517" s="199"/>
      <c r="BJ517" s="1009"/>
      <c r="BK517" s="199"/>
      <c r="BL517" s="199"/>
      <c r="BM517" s="199"/>
      <c r="BN517" s="199"/>
      <c r="BO517" s="1009"/>
      <c r="BP517" s="1009"/>
      <c r="BQ517" s="1009"/>
      <c r="BR517" s="1009"/>
      <c r="BS517" s="423"/>
    </row>
    <row r="518" spans="1:71" s="24" customFormat="1" ht="15" hidden="1" outlineLevel="1">
      <c r="A518" s="263" t="s">
        <v>189</v>
      </c>
      <c r="B518" s="462"/>
      <c r="C518" s="1032">
        <v>3622</v>
      </c>
      <c r="D518" s="1032">
        <v>3216</v>
      </c>
      <c r="E518" s="1032">
        <v>1426</v>
      </c>
      <c r="F518" s="1032">
        <v>2473</v>
      </c>
      <c r="G518" s="1032">
        <v>3673</v>
      </c>
      <c r="H518" s="924">
        <v>1052</v>
      </c>
      <c r="I518" s="924">
        <v>1735</v>
      </c>
      <c r="J518" s="924">
        <v>2654</v>
      </c>
      <c r="K518" s="265">
        <f t="shared" si="1058" ref="K518:K523">L518</f>
        <v>3692</v>
      </c>
      <c r="L518" s="1032">
        <v>3692</v>
      </c>
      <c r="M518" s="924">
        <v>833</v>
      </c>
      <c r="N518" s="924">
        <v>1645</v>
      </c>
      <c r="O518" s="924">
        <v>2573</v>
      </c>
      <c r="P518" s="265">
        <f t="shared" si="1059" ref="P518:P523">Q518</f>
        <v>3439</v>
      </c>
      <c r="Q518" s="1032">
        <v>3439</v>
      </c>
      <c r="R518" s="924">
        <v>691</v>
      </c>
      <c r="S518" s="924">
        <v>1355</v>
      </c>
      <c r="T518" s="924">
        <v>2071</v>
      </c>
      <c r="U518" s="265">
        <f t="shared" si="1060" ref="U518:U523">V518</f>
        <v>3014</v>
      </c>
      <c r="V518" s="1032">
        <v>3014</v>
      </c>
      <c r="W518" s="924">
        <v>617</v>
      </c>
      <c r="X518" s="924">
        <v>1212</v>
      </c>
      <c r="Y518" s="924">
        <v>1505</v>
      </c>
      <c r="Z518" s="265">
        <f t="shared" si="1061" ref="Z518:Z523">AA518</f>
        <v>2056</v>
      </c>
      <c r="AA518" s="1032">
        <v>2056</v>
      </c>
      <c r="AB518" s="924">
        <v>669</v>
      </c>
      <c r="AC518" s="924">
        <v>1193</v>
      </c>
      <c r="AD518" s="924">
        <v>1902</v>
      </c>
      <c r="AE518" s="265">
        <f t="shared" si="1062" ref="AE518:AE523">AF518</f>
        <v>2523</v>
      </c>
      <c r="AF518" s="1032">
        <v>2523</v>
      </c>
      <c r="AG518" s="924">
        <v>796</v>
      </c>
      <c r="AH518" s="924">
        <v>1353</v>
      </c>
      <c r="AI518" s="924">
        <v>1749</v>
      </c>
      <c r="AJ518" s="265">
        <f t="shared" si="1063" ref="AJ518:AJ523">AK518</f>
        <v>2622</v>
      </c>
      <c r="AK518" s="1032">
        <v>2622</v>
      </c>
      <c r="AL518" s="924">
        <v>600</v>
      </c>
      <c r="AM518" s="924">
        <v>560</v>
      </c>
      <c r="AN518" s="924">
        <v>1387</v>
      </c>
      <c r="AO518" s="265">
        <f t="shared" si="1064" ref="AO518:AO523">AP518</f>
        <v>2697</v>
      </c>
      <c r="AP518" s="1032">
        <v>2697</v>
      </c>
      <c r="AQ518" s="924">
        <v>733</v>
      </c>
      <c r="AR518" s="924">
        <v>1667</v>
      </c>
      <c r="AS518" s="924">
        <v>2329</v>
      </c>
      <c r="AT518" s="265">
        <f t="shared" si="1065" ref="AT518:AT523">AU518</f>
        <v>3662</v>
      </c>
      <c r="AU518" s="1032">
        <v>3662</v>
      </c>
      <c r="AV518" s="924">
        <v>1018</v>
      </c>
      <c r="AW518" s="924">
        <v>1569</v>
      </c>
      <c r="AX518" s="924">
        <v>2023</v>
      </c>
      <c r="AY518" s="265">
        <f t="shared" si="1066" ref="AY518:AY523">AZ518</f>
        <v>2842</v>
      </c>
      <c r="AZ518" s="1032">
        <v>2842</v>
      </c>
      <c r="BA518" s="924">
        <v>975</v>
      </c>
      <c r="BB518" s="924">
        <v>961</v>
      </c>
      <c r="BC518" s="924">
        <v>1365</v>
      </c>
      <c r="BD518" s="265">
        <f t="shared" si="1067" ref="BD518:BD523">BE518</f>
        <v>2991</v>
      </c>
      <c r="BE518" s="1032">
        <v>2991</v>
      </c>
      <c r="BF518" s="924">
        <v>1123</v>
      </c>
      <c r="BG518" s="924">
        <v>1657</v>
      </c>
      <c r="BH518" s="925">
        <v>2917</v>
      </c>
      <c r="BI518" s="210"/>
      <c r="BJ518" s="994"/>
      <c r="BK518" s="210"/>
      <c r="BL518" s="210"/>
      <c r="BM518" s="210"/>
      <c r="BN518" s="210"/>
      <c r="BO518" s="994"/>
      <c r="BP518" s="994"/>
      <c r="BQ518" s="994"/>
      <c r="BR518" s="994"/>
      <c r="BS518" s="833"/>
    </row>
    <row r="519" spans="1:71" s="24" customFormat="1" ht="15" hidden="1" outlineLevel="1">
      <c r="A519" s="263" t="s">
        <v>107</v>
      </c>
      <c r="B519" s="462"/>
      <c r="C519" s="1032">
        <v>-17</v>
      </c>
      <c r="D519" s="1032">
        <v>-264</v>
      </c>
      <c r="E519" s="1032">
        <v>-55</v>
      </c>
      <c r="F519" s="1032">
        <v>-51</v>
      </c>
      <c r="G519" s="1032">
        <v>-166</v>
      </c>
      <c r="H519" s="924">
        <v>-1</v>
      </c>
      <c r="I519" s="924">
        <v>-17</v>
      </c>
      <c r="J519" s="924">
        <v>-57</v>
      </c>
      <c r="K519" s="265">
        <f t="shared" si="1058"/>
        <v>-79</v>
      </c>
      <c r="L519" s="1032">
        <v>-79</v>
      </c>
      <c r="M519" s="924">
        <v>-10</v>
      </c>
      <c r="N519" s="924">
        <v>-20</v>
      </c>
      <c r="O519" s="924">
        <v>-35</v>
      </c>
      <c r="P519" s="265">
        <f t="shared" si="1059"/>
        <v>-3</v>
      </c>
      <c r="Q519" s="1032">
        <v>-3</v>
      </c>
      <c r="R519" s="924">
        <v>9</v>
      </c>
      <c r="S519" s="924">
        <v>-10</v>
      </c>
      <c r="T519" s="924">
        <v>-33</v>
      </c>
      <c r="U519" s="265">
        <f t="shared" si="1060"/>
        <v>-68</v>
      </c>
      <c r="V519" s="1032">
        <v>-68</v>
      </c>
      <c r="W519" s="924">
        <v>-5</v>
      </c>
      <c r="X519" s="924">
        <v>-85</v>
      </c>
      <c r="Y519" s="924">
        <v>-146</v>
      </c>
      <c r="Z519" s="265">
        <f t="shared" si="1061"/>
        <v>-216</v>
      </c>
      <c r="AA519" s="1032">
        <v>-216</v>
      </c>
      <c r="AB519" s="924">
        <v>11</v>
      </c>
      <c r="AC519" s="924">
        <v>-25</v>
      </c>
      <c r="AD519" s="924">
        <v>-54</v>
      </c>
      <c r="AE519" s="265">
        <f t="shared" si="1062"/>
        <v>-114</v>
      </c>
      <c r="AF519" s="1032">
        <v>-114</v>
      </c>
      <c r="AG519" s="924">
        <v>-53</v>
      </c>
      <c r="AH519" s="924">
        <v>-78</v>
      </c>
      <c r="AI519" s="924">
        <v>-101</v>
      </c>
      <c r="AJ519" s="265">
        <f t="shared" si="1063"/>
        <v>-113</v>
      </c>
      <c r="AK519" s="1032">
        <v>-113</v>
      </c>
      <c r="AL519" s="924">
        <v>98</v>
      </c>
      <c r="AM519" s="924">
        <v>85</v>
      </c>
      <c r="AN519" s="924">
        <v>48</v>
      </c>
      <c r="AO519" s="265">
        <f t="shared" si="1064"/>
        <v>-2</v>
      </c>
      <c r="AP519" s="1032">
        <v>-2</v>
      </c>
      <c r="AQ519" s="924">
        <v>-44</v>
      </c>
      <c r="AR519" s="924">
        <v>-105</v>
      </c>
      <c r="AS519" s="924">
        <v>-113</v>
      </c>
      <c r="AT519" s="265">
        <f t="shared" si="1065"/>
        <v>-171</v>
      </c>
      <c r="AU519" s="1032">
        <v>-171</v>
      </c>
      <c r="AV519" s="924">
        <v>23</v>
      </c>
      <c r="AW519" s="924">
        <v>118</v>
      </c>
      <c r="AX519" s="924">
        <v>211</v>
      </c>
      <c r="AY519" s="265">
        <f t="shared" si="1066"/>
        <v>204</v>
      </c>
      <c r="AZ519" s="1032">
        <v>204</v>
      </c>
      <c r="BA519" s="924">
        <v>-6</v>
      </c>
      <c r="BB519" s="924">
        <v>29</v>
      </c>
      <c r="BC519" s="924">
        <v>94</v>
      </c>
      <c r="BD519" s="265">
        <f t="shared" si="1067"/>
        <v>105</v>
      </c>
      <c r="BE519" s="1032">
        <v>105</v>
      </c>
      <c r="BF519" s="924">
        <v>-35</v>
      </c>
      <c r="BG519" s="924">
        <v>30</v>
      </c>
      <c r="BH519" s="925">
        <v>-25</v>
      </c>
      <c r="BI519" s="210"/>
      <c r="BJ519" s="994"/>
      <c r="BK519" s="210"/>
      <c r="BL519" s="210"/>
      <c r="BM519" s="210"/>
      <c r="BN519" s="210"/>
      <c r="BO519" s="994"/>
      <c r="BP519" s="994"/>
      <c r="BQ519" s="994"/>
      <c r="BR519" s="994"/>
      <c r="BS519" s="833"/>
    </row>
    <row r="520" spans="1:71" s="24" customFormat="1" ht="15" hidden="1" outlineLevel="1">
      <c r="A520" s="263" t="s">
        <v>190</v>
      </c>
      <c r="B520" s="462"/>
      <c r="C520" s="1032">
        <v>797</v>
      </c>
      <c r="D520" s="1032">
        <v>812</v>
      </c>
      <c r="E520" s="1032">
        <v>802</v>
      </c>
      <c r="F520" s="1032">
        <v>827</v>
      </c>
      <c r="G520" s="1032">
        <v>867</v>
      </c>
      <c r="H520" s="924">
        <v>227</v>
      </c>
      <c r="I520" s="924">
        <v>442</v>
      </c>
      <c r="J520" s="924">
        <v>653</v>
      </c>
      <c r="K520" s="265">
        <f t="shared" si="1058"/>
        <v>864</v>
      </c>
      <c r="L520" s="1032">
        <v>864</v>
      </c>
      <c r="M520" s="924">
        <v>225</v>
      </c>
      <c r="N520" s="924">
        <v>429</v>
      </c>
      <c r="O520" s="924">
        <v>620</v>
      </c>
      <c r="P520" s="265">
        <f t="shared" si="1059"/>
        <v>818</v>
      </c>
      <c r="Q520" s="1032">
        <v>818</v>
      </c>
      <c r="R520" s="924">
        <v>213</v>
      </c>
      <c r="S520" s="924">
        <v>413</v>
      </c>
      <c r="T520" s="924">
        <v>624</v>
      </c>
      <c r="U520" s="265">
        <f t="shared" si="1060"/>
        <v>826</v>
      </c>
      <c r="V520" s="1032">
        <v>826</v>
      </c>
      <c r="W520" s="924">
        <v>211</v>
      </c>
      <c r="X520" s="924">
        <v>409</v>
      </c>
      <c r="Y520" s="924">
        <v>611</v>
      </c>
      <c r="Z520" s="265">
        <f t="shared" si="1061"/>
        <v>813</v>
      </c>
      <c r="AA520" s="1032">
        <v>813</v>
      </c>
      <c r="AB520" s="924">
        <v>212</v>
      </c>
      <c r="AC520" s="924">
        <v>411</v>
      </c>
      <c r="AD520" s="924">
        <v>609</v>
      </c>
      <c r="AE520" s="265">
        <f t="shared" si="1062"/>
        <v>803</v>
      </c>
      <c r="AF520" s="1032">
        <v>803</v>
      </c>
      <c r="AG520" s="924">
        <v>211</v>
      </c>
      <c r="AH520" s="924">
        <v>401</v>
      </c>
      <c r="AI520" s="924">
        <v>581</v>
      </c>
      <c r="AJ520" s="265">
        <f t="shared" si="1063"/>
        <v>763</v>
      </c>
      <c r="AK520" s="1032">
        <v>763</v>
      </c>
      <c r="AL520" s="924">
        <v>203</v>
      </c>
      <c r="AM520" s="924">
        <v>391</v>
      </c>
      <c r="AN520" s="924">
        <v>577</v>
      </c>
      <c r="AO520" s="265">
        <f t="shared" si="1064"/>
        <v>789</v>
      </c>
      <c r="AP520" s="1032">
        <v>789</v>
      </c>
      <c r="AQ520" s="924">
        <v>235</v>
      </c>
      <c r="AR520" s="924">
        <v>450</v>
      </c>
      <c r="AS520" s="924">
        <v>662</v>
      </c>
      <c r="AT520" s="265">
        <f t="shared" si="1065"/>
        <v>870</v>
      </c>
      <c r="AU520" s="1032">
        <v>870</v>
      </c>
      <c r="AV520" s="924">
        <v>234</v>
      </c>
      <c r="AW520" s="924">
        <v>444</v>
      </c>
      <c r="AX520" s="924">
        <v>639</v>
      </c>
      <c r="AY520" s="265">
        <f t="shared" si="1066"/>
        <v>826</v>
      </c>
      <c r="AZ520" s="1032">
        <v>826</v>
      </c>
      <c r="BA520" s="924">
        <v>204</v>
      </c>
      <c r="BB520" s="924">
        <v>383</v>
      </c>
      <c r="BC520" s="924">
        <v>552</v>
      </c>
      <c r="BD520" s="265">
        <f t="shared" si="1067"/>
        <v>722</v>
      </c>
      <c r="BE520" s="1032">
        <v>722</v>
      </c>
      <c r="BF520" s="924">
        <v>196</v>
      </c>
      <c r="BG520" s="924">
        <v>378</v>
      </c>
      <c r="BH520" s="925">
        <v>552</v>
      </c>
      <c r="BI520" s="210"/>
      <c r="BJ520" s="994"/>
      <c r="BK520" s="210"/>
      <c r="BL520" s="210"/>
      <c r="BM520" s="210"/>
      <c r="BN520" s="210"/>
      <c r="BO520" s="994"/>
      <c r="BP520" s="994"/>
      <c r="BQ520" s="994"/>
      <c r="BR520" s="994"/>
      <c r="BS520" s="833"/>
    </row>
    <row r="521" spans="1:71" s="24" customFormat="1" ht="15" hidden="1" outlineLevel="1">
      <c r="A521" s="263" t="s">
        <v>191</v>
      </c>
      <c r="B521" s="462"/>
      <c r="C521" s="1032">
        <v>213</v>
      </c>
      <c r="D521" s="1032">
        <v>178</v>
      </c>
      <c r="E521" s="1032">
        <v>63</v>
      </c>
      <c r="F521" s="1032">
        <v>223</v>
      </c>
      <c r="G521" s="1032">
        <v>167</v>
      </c>
      <c r="H521" s="924">
        <v>153</v>
      </c>
      <c r="I521" s="924">
        <v>131</v>
      </c>
      <c r="J521" s="924">
        <v>93</v>
      </c>
      <c r="K521" s="265">
        <f t="shared" si="1058"/>
        <v>121</v>
      </c>
      <c r="L521" s="1032">
        <v>121</v>
      </c>
      <c r="M521" s="924">
        <v>133</v>
      </c>
      <c r="N521" s="924">
        <v>142</v>
      </c>
      <c r="O521" s="924">
        <v>105</v>
      </c>
      <c r="P521" s="265">
        <f t="shared" si="1059"/>
        <v>117</v>
      </c>
      <c r="Q521" s="1032">
        <v>117</v>
      </c>
      <c r="R521" s="924">
        <v>105</v>
      </c>
      <c r="S521" s="924">
        <v>75</v>
      </c>
      <c r="T521" s="924">
        <v>29</v>
      </c>
      <c r="U521" s="265">
        <f t="shared" si="1060"/>
        <v>110</v>
      </c>
      <c r="V521" s="1032">
        <v>110</v>
      </c>
      <c r="W521" s="924">
        <v>151</v>
      </c>
      <c r="X521" s="924">
        <v>106</v>
      </c>
      <c r="Y521" s="924">
        <v>88</v>
      </c>
      <c r="Z521" s="265">
        <f t="shared" si="1061"/>
        <v>337</v>
      </c>
      <c r="AA521" s="1032">
        <v>337</v>
      </c>
      <c r="AB521" s="924">
        <v>-56</v>
      </c>
      <c r="AC521" s="924">
        <v>-70</v>
      </c>
      <c r="AD521" s="924">
        <v>-43</v>
      </c>
      <c r="AE521" s="265">
        <f t="shared" si="1062"/>
        <v>-13</v>
      </c>
      <c r="AF521" s="1032">
        <v>-13</v>
      </c>
      <c r="AG521" s="924">
        <v>32</v>
      </c>
      <c r="AH521" s="924">
        <v>10</v>
      </c>
      <c r="AI521" s="924">
        <v>-10</v>
      </c>
      <c r="AJ521" s="265">
        <f t="shared" si="1063"/>
        <v>-33</v>
      </c>
      <c r="AK521" s="1032">
        <v>-33</v>
      </c>
      <c r="AL521" s="924">
        <v>6</v>
      </c>
      <c r="AM521" s="924">
        <v>-71</v>
      </c>
      <c r="AN521" s="924">
        <v>-67</v>
      </c>
      <c r="AO521" s="265">
        <f t="shared" si="1064"/>
        <v>-29</v>
      </c>
      <c r="AP521" s="1032">
        <v>-29</v>
      </c>
      <c r="AQ521" s="924">
        <v>56</v>
      </c>
      <c r="AR521" s="924">
        <v>57</v>
      </c>
      <c r="AS521" s="924">
        <v>61</v>
      </c>
      <c r="AT521" s="265">
        <f t="shared" si="1065"/>
        <v>62</v>
      </c>
      <c r="AU521" s="1032">
        <v>62</v>
      </c>
      <c r="AV521" s="924">
        <v>40</v>
      </c>
      <c r="AW521" s="924">
        <v>-28</v>
      </c>
      <c r="AX521" s="924">
        <v>-130</v>
      </c>
      <c r="AY521" s="265">
        <f t="shared" si="1066"/>
        <v>-186</v>
      </c>
      <c r="AZ521" s="1032">
        <v>-186</v>
      </c>
      <c r="BA521" s="924">
        <v>32</v>
      </c>
      <c r="BB521" s="924">
        <v>-64</v>
      </c>
      <c r="BC521" s="924">
        <v>-107</v>
      </c>
      <c r="BD521" s="265">
        <f t="shared" si="1067"/>
        <v>-163</v>
      </c>
      <c r="BE521" s="1032">
        <v>-163</v>
      </c>
      <c r="BF521" s="924">
        <v>42</v>
      </c>
      <c r="BG521" s="924">
        <v>-43</v>
      </c>
      <c r="BH521" s="925">
        <v>-102</v>
      </c>
      <c r="BI521" s="210"/>
      <c r="BJ521" s="994"/>
      <c r="BK521" s="210"/>
      <c r="BL521" s="210"/>
      <c r="BM521" s="210"/>
      <c r="BN521" s="210"/>
      <c r="BO521" s="994"/>
      <c r="BP521" s="994"/>
      <c r="BQ521" s="994"/>
      <c r="BR521" s="994"/>
      <c r="BS521" s="833"/>
    </row>
    <row r="522" spans="1:71" s="24" customFormat="1" ht="15" hidden="1" outlineLevel="1">
      <c r="A522" s="263" t="s">
        <v>111</v>
      </c>
      <c r="B522" s="462"/>
      <c r="C522" s="1032">
        <v>3813</v>
      </c>
      <c r="D522" s="1032">
        <v>3802</v>
      </c>
      <c r="E522" s="1032">
        <v>3876</v>
      </c>
      <c r="F522" s="1032">
        <v>3910</v>
      </c>
      <c r="G522" s="1032">
        <v>3821</v>
      </c>
      <c r="H522" s="924">
        <v>950</v>
      </c>
      <c r="I522" s="924">
        <v>1915</v>
      </c>
      <c r="J522" s="924">
        <v>2899</v>
      </c>
      <c r="K522" s="265">
        <f t="shared" si="1058"/>
        <v>3882</v>
      </c>
      <c r="L522" s="1032">
        <v>3882</v>
      </c>
      <c r="M522" s="924">
        <v>963</v>
      </c>
      <c r="N522" s="924">
        <v>1926</v>
      </c>
      <c r="O522" s="924">
        <v>2913</v>
      </c>
      <c r="P522" s="265">
        <f t="shared" si="1059"/>
        <v>3885</v>
      </c>
      <c r="Q522" s="1032">
        <v>3885</v>
      </c>
      <c r="R522" s="924">
        <v>971</v>
      </c>
      <c r="S522" s="924">
        <v>1960</v>
      </c>
      <c r="T522" s="924">
        <v>2972</v>
      </c>
      <c r="U522" s="265">
        <f t="shared" si="1060"/>
        <v>3985</v>
      </c>
      <c r="V522" s="1032">
        <v>3985</v>
      </c>
      <c r="W522" s="924">
        <v>1003</v>
      </c>
      <c r="X522" s="924">
        <v>2035</v>
      </c>
      <c r="Y522" s="924">
        <v>3094</v>
      </c>
      <c r="Z522" s="265">
        <f t="shared" si="1061"/>
        <v>4166</v>
      </c>
      <c r="AA522" s="1032">
        <v>4166</v>
      </c>
      <c r="AB522" s="924">
        <v>1061</v>
      </c>
      <c r="AC522" s="924">
        <v>2142</v>
      </c>
      <c r="AD522" s="924">
        <v>3259</v>
      </c>
      <c r="AE522" s="265">
        <f t="shared" si="1062"/>
        <v>4381</v>
      </c>
      <c r="AF522" s="1032">
        <v>4381</v>
      </c>
      <c r="AG522" s="924">
        <v>1117</v>
      </c>
      <c r="AH522" s="924">
        <v>2251</v>
      </c>
      <c r="AI522" s="924">
        <v>3420</v>
      </c>
      <c r="AJ522" s="265">
        <f t="shared" si="1063"/>
        <v>4601</v>
      </c>
      <c r="AK522" s="1032">
        <v>4601</v>
      </c>
      <c r="AL522" s="924">
        <v>1178</v>
      </c>
      <c r="AM522" s="924">
        <v>2351</v>
      </c>
      <c r="AN522" s="924">
        <v>3558</v>
      </c>
      <c r="AO522" s="265">
        <f t="shared" si="1064"/>
        <v>4773</v>
      </c>
      <c r="AP522" s="1032">
        <v>4773</v>
      </c>
      <c r="AQ522" s="924">
        <v>1207</v>
      </c>
      <c r="AR522" s="924">
        <v>2461</v>
      </c>
      <c r="AS522" s="924">
        <v>3742</v>
      </c>
      <c r="AT522" s="265">
        <f t="shared" si="1065"/>
        <v>5043</v>
      </c>
      <c r="AU522" s="1032">
        <v>5043</v>
      </c>
      <c r="AV522" s="924">
        <v>1310</v>
      </c>
      <c r="AW522" s="924">
        <v>2675</v>
      </c>
      <c r="AX522" s="924">
        <v>4081</v>
      </c>
      <c r="AY522" s="265">
        <f t="shared" si="1066"/>
        <v>5515</v>
      </c>
      <c r="AZ522" s="1032">
        <v>5515</v>
      </c>
      <c r="BA522" s="924">
        <v>1462</v>
      </c>
      <c r="BB522" s="924">
        <v>2981</v>
      </c>
      <c r="BC522" s="924">
        <v>4585</v>
      </c>
      <c r="BD522" s="265">
        <f t="shared" si="1067"/>
        <v>6226</v>
      </c>
      <c r="BE522" s="1032">
        <v>6226</v>
      </c>
      <c r="BF522" s="924">
        <v>1698</v>
      </c>
      <c r="BG522" s="924">
        <v>3376</v>
      </c>
      <c r="BH522" s="925">
        <v>5166</v>
      </c>
      <c r="BI522" s="210"/>
      <c r="BJ522" s="994"/>
      <c r="BK522" s="210"/>
      <c r="BL522" s="210"/>
      <c r="BM522" s="210"/>
      <c r="BN522" s="210"/>
      <c r="BO522" s="994"/>
      <c r="BP522" s="994"/>
      <c r="BQ522" s="994"/>
      <c r="BR522" s="994"/>
      <c r="BS522" s="833"/>
    </row>
    <row r="523" spans="1:71" s="24" customFormat="1" ht="15" hidden="1" outlineLevel="1">
      <c r="A523" s="60" t="s">
        <v>192</v>
      </c>
      <c r="B523" s="478"/>
      <c r="C523" s="1033">
        <v>126</v>
      </c>
      <c r="D523" s="1033">
        <v>-283</v>
      </c>
      <c r="E523" s="1033">
        <v>-281</v>
      </c>
      <c r="F523" s="1033">
        <v>-342</v>
      </c>
      <c r="G523" s="1033">
        <v>-357</v>
      </c>
      <c r="H523" s="927">
        <v>-139</v>
      </c>
      <c r="I523" s="927">
        <v>-257</v>
      </c>
      <c r="J523" s="927">
        <v>-412</v>
      </c>
      <c r="K523" s="186">
        <f t="shared" si="1058"/>
        <v>-486</v>
      </c>
      <c r="L523" s="1033">
        <v>-486</v>
      </c>
      <c r="M523" s="927">
        <v>-43</v>
      </c>
      <c r="N523" s="927">
        <v>-134</v>
      </c>
      <c r="O523" s="927">
        <v>-214</v>
      </c>
      <c r="P523" s="186">
        <f t="shared" si="1059"/>
        <v>-218</v>
      </c>
      <c r="Q523" s="1033">
        <v>-218</v>
      </c>
      <c r="R523" s="927">
        <v>-17</v>
      </c>
      <c r="S523" s="927">
        <v>-44</v>
      </c>
      <c r="T523" s="927">
        <v>-114</v>
      </c>
      <c r="U523" s="186">
        <f t="shared" si="1060"/>
        <v>-232</v>
      </c>
      <c r="V523" s="1033">
        <v>-232</v>
      </c>
      <c r="W523" s="927">
        <v>-109</v>
      </c>
      <c r="X523" s="927">
        <v>-210</v>
      </c>
      <c r="Y523" s="927">
        <v>-300</v>
      </c>
      <c r="Z523" s="186">
        <f t="shared" si="1061"/>
        <v>-397</v>
      </c>
      <c r="AA523" s="1033">
        <v>-397</v>
      </c>
      <c r="AB523" s="927">
        <v>-95</v>
      </c>
      <c r="AC523" s="927">
        <v>-169</v>
      </c>
      <c r="AD523" s="927">
        <v>-284</v>
      </c>
      <c r="AE523" s="186">
        <f t="shared" si="1062"/>
        <v>-365</v>
      </c>
      <c r="AF523" s="1033">
        <v>-365</v>
      </c>
      <c r="AG523" s="927">
        <v>-34</v>
      </c>
      <c r="AH523" s="927">
        <v>-132</v>
      </c>
      <c r="AI523" s="927">
        <v>-196</v>
      </c>
      <c r="AJ523" s="186">
        <f t="shared" si="1063"/>
        <v>-251</v>
      </c>
      <c r="AK523" s="1033">
        <v>-251</v>
      </c>
      <c r="AL523" s="927">
        <v>-67</v>
      </c>
      <c r="AM523" s="927">
        <v>186</v>
      </c>
      <c r="AN523" s="927">
        <v>32</v>
      </c>
      <c r="AO523" s="186">
        <f t="shared" si="1064"/>
        <v>-130</v>
      </c>
      <c r="AP523" s="1033">
        <v>-130</v>
      </c>
      <c r="AQ523" s="927">
        <v>-200</v>
      </c>
      <c r="AR523" s="927">
        <v>-513</v>
      </c>
      <c r="AS523" s="927">
        <v>-774</v>
      </c>
      <c r="AT523" s="186">
        <f t="shared" si="1065"/>
        <v>-993</v>
      </c>
      <c r="AU523" s="1033">
        <v>-993</v>
      </c>
      <c r="AV523" s="927">
        <v>-118</v>
      </c>
      <c r="AW523" s="927">
        <v>-295</v>
      </c>
      <c r="AX523" s="927">
        <v>-319</v>
      </c>
      <c r="AY523" s="186">
        <f t="shared" si="1066"/>
        <v>-336</v>
      </c>
      <c r="AZ523" s="1033">
        <v>-336</v>
      </c>
      <c r="BA523" s="927">
        <v>-30</v>
      </c>
      <c r="BB523" s="927">
        <v>-85</v>
      </c>
      <c r="BC523" s="927">
        <v>-144</v>
      </c>
      <c r="BD523" s="186">
        <f t="shared" si="1067"/>
        <v>-157</v>
      </c>
      <c r="BE523" s="1033">
        <v>-157</v>
      </c>
      <c r="BF523" s="927">
        <v>-68</v>
      </c>
      <c r="BG523" s="927">
        <v>-157</v>
      </c>
      <c r="BH523" s="928">
        <v>-220</v>
      </c>
      <c r="BI523" s="205"/>
      <c r="BJ523" s="996"/>
      <c r="BK523" s="205"/>
      <c r="BL523" s="205"/>
      <c r="BM523" s="205"/>
      <c r="BN523" s="205"/>
      <c r="BO523" s="996"/>
      <c r="BP523" s="996"/>
      <c r="BQ523" s="996"/>
      <c r="BR523" s="996"/>
      <c r="BS523" s="833"/>
    </row>
    <row r="524" spans="1:71" s="24" customFormat="1" ht="15" hidden="1" outlineLevel="1">
      <c r="A524" s="62" t="s">
        <v>193</v>
      </c>
      <c r="B524" s="479"/>
      <c r="C524" s="997">
        <f t="shared" si="1068" ref="C524:AM524">SUM(C518:C523)</f>
        <v>8554</v>
      </c>
      <c r="D524" s="997">
        <f t="shared" si="1068"/>
        <v>7461</v>
      </c>
      <c r="E524" s="997">
        <f t="shared" si="1068"/>
        <v>5831</v>
      </c>
      <c r="F524" s="997">
        <f t="shared" si="1068"/>
        <v>7040</v>
      </c>
      <c r="G524" s="997">
        <f t="shared" si="1068"/>
        <v>8005</v>
      </c>
      <c r="H524" s="193">
        <f t="shared" si="1068"/>
        <v>2242</v>
      </c>
      <c r="I524" s="193">
        <f t="shared" si="1068"/>
        <v>3949</v>
      </c>
      <c r="J524" s="193">
        <f t="shared" si="1068"/>
        <v>5830</v>
      </c>
      <c r="K524" s="193">
        <f t="shared" si="1068"/>
        <v>7994</v>
      </c>
      <c r="L524" s="997">
        <f t="shared" si="1068"/>
        <v>7994</v>
      </c>
      <c r="M524" s="193">
        <f t="shared" si="1068"/>
        <v>2101</v>
      </c>
      <c r="N524" s="193">
        <f t="shared" si="1068"/>
        <v>3988</v>
      </c>
      <c r="O524" s="193">
        <f t="shared" si="1068"/>
        <v>5962</v>
      </c>
      <c r="P524" s="193">
        <f t="shared" si="1068"/>
        <v>8038</v>
      </c>
      <c r="Q524" s="997">
        <f t="shared" si="1068"/>
        <v>8038</v>
      </c>
      <c r="R524" s="193">
        <f t="shared" si="1068"/>
        <v>1972</v>
      </c>
      <c r="S524" s="193">
        <f t="shared" si="1068"/>
        <v>3749</v>
      </c>
      <c r="T524" s="193">
        <f t="shared" si="1068"/>
        <v>5549</v>
      </c>
      <c r="U524" s="193">
        <f t="shared" si="1068"/>
        <v>7635</v>
      </c>
      <c r="V524" s="997">
        <f t="shared" si="1068"/>
        <v>7635</v>
      </c>
      <c r="W524" s="193">
        <f t="shared" si="1068"/>
        <v>1868</v>
      </c>
      <c r="X524" s="193">
        <f t="shared" si="1068"/>
        <v>3467</v>
      </c>
      <c r="Y524" s="193">
        <f t="shared" si="1068"/>
        <v>4852</v>
      </c>
      <c r="Z524" s="193">
        <f t="shared" si="1068"/>
        <v>6759</v>
      </c>
      <c r="AA524" s="997">
        <f t="shared" si="1068"/>
        <v>6759</v>
      </c>
      <c r="AB524" s="193">
        <f t="shared" si="1068"/>
        <v>1802</v>
      </c>
      <c r="AC524" s="193">
        <f t="shared" si="1068"/>
        <v>3482</v>
      </c>
      <c r="AD524" s="193">
        <f t="shared" si="1068"/>
        <v>5389</v>
      </c>
      <c r="AE524" s="193">
        <f t="shared" si="1068"/>
        <v>7215</v>
      </c>
      <c r="AF524" s="997">
        <f t="shared" si="1068"/>
        <v>7215</v>
      </c>
      <c r="AG524" s="193">
        <f t="shared" si="1068"/>
        <v>2069</v>
      </c>
      <c r="AH524" s="193">
        <f t="shared" si="1068"/>
        <v>3805</v>
      </c>
      <c r="AI524" s="193">
        <f t="shared" si="1068"/>
        <v>5443</v>
      </c>
      <c r="AJ524" s="193">
        <f t="shared" si="1068"/>
        <v>7589</v>
      </c>
      <c r="AK524" s="997">
        <f t="shared" si="1068"/>
        <v>7589</v>
      </c>
      <c r="AL524" s="193">
        <f t="shared" si="1068"/>
        <v>2018</v>
      </c>
      <c r="AM524" s="193">
        <f t="shared" si="1068"/>
        <v>3502</v>
      </c>
      <c r="AN524" s="193">
        <f>SUM(AN518:AN523)</f>
        <v>5535</v>
      </c>
      <c r="AO524" s="193">
        <f t="shared" si="1069" ref="AO524">SUM(AO518:AO523)</f>
        <v>8098</v>
      </c>
      <c r="AP524" s="997">
        <f t="shared" si="1070" ref="AP524">SUM(AP518:AP523)</f>
        <v>8098</v>
      </c>
      <c r="AQ524" s="193">
        <f t="shared" si="1071" ref="AQ524">SUM(AQ518:AQ523)</f>
        <v>1987</v>
      </c>
      <c r="AR524" s="193">
        <f t="shared" si="1072" ref="AR524:AW524">SUM(AR518:AR523)</f>
        <v>4017</v>
      </c>
      <c r="AS524" s="193">
        <f t="shared" si="1072"/>
        <v>5907</v>
      </c>
      <c r="AT524" s="193">
        <f t="shared" si="1072"/>
        <v>8473</v>
      </c>
      <c r="AU524" s="997">
        <f t="shared" si="1072"/>
        <v>8473</v>
      </c>
      <c r="AV524" s="193">
        <f t="shared" si="1072"/>
        <v>2507</v>
      </c>
      <c r="AW524" s="193">
        <f t="shared" si="1072"/>
        <v>4483</v>
      </c>
      <c r="AX524" s="193">
        <f t="shared" si="1073" ref="AX524:BC524">SUM(AX518:AX523)</f>
        <v>6505</v>
      </c>
      <c r="AY524" s="193">
        <f t="shared" si="1073"/>
        <v>8865</v>
      </c>
      <c r="AZ524" s="997">
        <f t="shared" si="1073"/>
        <v>8865</v>
      </c>
      <c r="BA524" s="193">
        <f t="shared" si="1073"/>
        <v>2637</v>
      </c>
      <c r="BB524" s="193">
        <f t="shared" si="1073"/>
        <v>4205</v>
      </c>
      <c r="BC524" s="193">
        <f t="shared" si="1073"/>
        <v>6345</v>
      </c>
      <c r="BD524" s="193">
        <f>SUM(BD518:BD523)</f>
        <v>9724</v>
      </c>
      <c r="BE524" s="997">
        <f>SUM(BE518:BE523)</f>
        <v>9724</v>
      </c>
      <c r="BF524" s="193">
        <f>SUM(BF518:BF523)</f>
        <v>2956</v>
      </c>
      <c r="BG524" s="193">
        <f>SUM(BG518:BG523)</f>
        <v>5241</v>
      </c>
      <c r="BH524" s="747">
        <f>SUM(BH518:BH523)</f>
        <v>8288</v>
      </c>
      <c r="BI524" s="194"/>
      <c r="BJ524" s="998"/>
      <c r="BK524" s="194"/>
      <c r="BL524" s="194"/>
      <c r="BM524" s="194"/>
      <c r="BN524" s="194"/>
      <c r="BO524" s="998"/>
      <c r="BP524" s="998"/>
      <c r="BQ524" s="998"/>
      <c r="BR524" s="998"/>
      <c r="BS524" s="833"/>
    </row>
    <row r="525" spans="1:71" s="24" customFormat="1" ht="15" hidden="1" outlineLevel="1">
      <c r="A525" s="263" t="s">
        <v>194</v>
      </c>
      <c r="B525" s="462"/>
      <c r="C525" s="1032">
        <v>364</v>
      </c>
      <c r="D525" s="1032">
        <v>-29</v>
      </c>
      <c r="E525" s="1032">
        <v>-237</v>
      </c>
      <c r="F525" s="1032">
        <v>-138</v>
      </c>
      <c r="G525" s="1032">
        <v>54</v>
      </c>
      <c r="H525" s="924">
        <v>-189</v>
      </c>
      <c r="I525" s="924">
        <v>-463</v>
      </c>
      <c r="J525" s="924">
        <v>-334</v>
      </c>
      <c r="K525" s="265">
        <f>L525</f>
        <v>-207</v>
      </c>
      <c r="L525" s="1032">
        <v>-207</v>
      </c>
      <c r="M525" s="924">
        <v>-258</v>
      </c>
      <c r="N525" s="924">
        <v>-486</v>
      </c>
      <c r="O525" s="924">
        <v>-300</v>
      </c>
      <c r="P525" s="265">
        <f>Q525</f>
        <v>-185</v>
      </c>
      <c r="Q525" s="1032">
        <v>-185</v>
      </c>
      <c r="R525" s="924">
        <v>-393</v>
      </c>
      <c r="S525" s="924">
        <v>-567</v>
      </c>
      <c r="T525" s="924">
        <v>-340</v>
      </c>
      <c r="U525" s="265">
        <f>V525</f>
        <v>-286</v>
      </c>
      <c r="V525" s="1032">
        <v>-286</v>
      </c>
      <c r="W525" s="924">
        <v>-286</v>
      </c>
      <c r="X525" s="924">
        <v>-609</v>
      </c>
      <c r="Y525" s="924">
        <v>-517</v>
      </c>
      <c r="Z525" s="265">
        <f>AA525</f>
        <v>-394</v>
      </c>
      <c r="AA525" s="1032">
        <v>-394</v>
      </c>
      <c r="AB525" s="924">
        <v>-397</v>
      </c>
      <c r="AC525" s="924">
        <v>-660</v>
      </c>
      <c r="AD525" s="924">
        <v>-508</v>
      </c>
      <c r="AE525" s="265">
        <f>AF525</f>
        <v>-393</v>
      </c>
      <c r="AF525" s="1032">
        <v>-393</v>
      </c>
      <c r="AG525" s="924">
        <v>-434</v>
      </c>
      <c r="AH525" s="924">
        <v>-779</v>
      </c>
      <c r="AI525" s="924">
        <v>-611</v>
      </c>
      <c r="AJ525" s="265">
        <f>AK525</f>
        <v>-384</v>
      </c>
      <c r="AK525" s="1032">
        <v>-384</v>
      </c>
      <c r="AL525" s="924">
        <v>-326</v>
      </c>
      <c r="AM525" s="924">
        <v>-571</v>
      </c>
      <c r="AN525" s="924">
        <v>-324</v>
      </c>
      <c r="AO525" s="265">
        <f>AP525</f>
        <v>94</v>
      </c>
      <c r="AP525" s="1032">
        <v>94</v>
      </c>
      <c r="AQ525" s="924">
        <v>-333</v>
      </c>
      <c r="AR525" s="924">
        <v>-718</v>
      </c>
      <c r="AS525" s="924">
        <v>-462</v>
      </c>
      <c r="AT525" s="265">
        <f>AU525</f>
        <v>-258</v>
      </c>
      <c r="AU525" s="1032">
        <v>-258</v>
      </c>
      <c r="AV525" s="924">
        <v>-509</v>
      </c>
      <c r="AW525" s="924">
        <v>-1071</v>
      </c>
      <c r="AX525" s="924">
        <v>-861</v>
      </c>
      <c r="AY525" s="265">
        <f>AZ525</f>
        <v>-877</v>
      </c>
      <c r="AZ525" s="1032">
        <v>-877</v>
      </c>
      <c r="BA525" s="924">
        <v>-557</v>
      </c>
      <c r="BB525" s="924">
        <v>-1389</v>
      </c>
      <c r="BC525" s="924">
        <v>-1422</v>
      </c>
      <c r="BD525" s="265">
        <f>BE525</f>
        <v>-1341</v>
      </c>
      <c r="BE525" s="1032">
        <v>-1341</v>
      </c>
      <c r="BF525" s="924">
        <v>-557</v>
      </c>
      <c r="BG525" s="924">
        <v>-1221</v>
      </c>
      <c r="BH525" s="925">
        <v>-987</v>
      </c>
      <c r="BI525" s="210"/>
      <c r="BJ525" s="994"/>
      <c r="BK525" s="210"/>
      <c r="BL525" s="210"/>
      <c r="BM525" s="210"/>
      <c r="BN525" s="210"/>
      <c r="BO525" s="994"/>
      <c r="BP525" s="994"/>
      <c r="BQ525" s="994"/>
      <c r="BR525" s="994"/>
      <c r="BS525" s="833"/>
    </row>
    <row r="526" spans="1:71" s="24" customFormat="1" ht="15" hidden="1" outlineLevel="1">
      <c r="A526" s="263" t="s">
        <v>195</v>
      </c>
      <c r="B526" s="462"/>
      <c r="C526" s="1032">
        <v>1416</v>
      </c>
      <c r="D526" s="1032">
        <v>1303</v>
      </c>
      <c r="E526" s="1032">
        <v>809</v>
      </c>
      <c r="F526" s="1032">
        <v>453</v>
      </c>
      <c r="G526" s="1032">
        <v>1284</v>
      </c>
      <c r="H526" s="924">
        <v>106</v>
      </c>
      <c r="I526" s="924">
        <v>206</v>
      </c>
      <c r="J526" s="924">
        <v>403</v>
      </c>
      <c r="K526" s="265">
        <f>L526</f>
        <v>400</v>
      </c>
      <c r="L526" s="1032">
        <v>400</v>
      </c>
      <c r="M526" s="924">
        <v>69</v>
      </c>
      <c r="N526" s="924">
        <v>263</v>
      </c>
      <c r="O526" s="924">
        <v>247</v>
      </c>
      <c r="P526" s="265">
        <f>Q526</f>
        <v>272</v>
      </c>
      <c r="Q526" s="1032">
        <v>272</v>
      </c>
      <c r="R526" s="924">
        <v>126</v>
      </c>
      <c r="S526" s="924">
        <v>316</v>
      </c>
      <c r="T526" s="924">
        <v>248</v>
      </c>
      <c r="U526" s="265">
        <f>V526</f>
        <v>610</v>
      </c>
      <c r="V526" s="1032">
        <v>610</v>
      </c>
      <c r="W526" s="924">
        <v>94</v>
      </c>
      <c r="X526" s="924">
        <v>157</v>
      </c>
      <c r="Y526" s="924">
        <v>-19</v>
      </c>
      <c r="Z526" s="265">
        <f>AA526</f>
        <v>16</v>
      </c>
      <c r="AA526" s="1032">
        <v>16</v>
      </c>
      <c r="AB526" s="924">
        <v>5</v>
      </c>
      <c r="AC526" s="924">
        <v>29</v>
      </c>
      <c r="AD526" s="924">
        <v>-21</v>
      </c>
      <c r="AE526" s="265">
        <f>AF526</f>
        <v>-100</v>
      </c>
      <c r="AF526" s="1032">
        <v>-100</v>
      </c>
      <c r="AG526" s="924">
        <v>98</v>
      </c>
      <c r="AH526" s="924">
        <v>151</v>
      </c>
      <c r="AI526" s="924">
        <v>212</v>
      </c>
      <c r="AJ526" s="265">
        <f>AK526</f>
        <v>157</v>
      </c>
      <c r="AK526" s="1032">
        <v>157</v>
      </c>
      <c r="AL526" s="924">
        <v>-15</v>
      </c>
      <c r="AM526" s="924">
        <v>60</v>
      </c>
      <c r="AN526" s="924">
        <v>-150</v>
      </c>
      <c r="AO526" s="265">
        <f>AP526</f>
        <v>-162</v>
      </c>
      <c r="AP526" s="1032">
        <v>-162</v>
      </c>
      <c r="AQ526" s="924">
        <v>12</v>
      </c>
      <c r="AR526" s="924">
        <v>154</v>
      </c>
      <c r="AS526" s="924">
        <v>20</v>
      </c>
      <c r="AT526" s="265">
        <f>AU526</f>
        <v>-101</v>
      </c>
      <c r="AU526" s="1032">
        <v>-101</v>
      </c>
      <c r="AV526" s="924">
        <v>-282</v>
      </c>
      <c r="AW526" s="924">
        <v>-84</v>
      </c>
      <c r="AX526" s="924">
        <v>185</v>
      </c>
      <c r="AY526" s="265">
        <f>AZ526</f>
        <v>344</v>
      </c>
      <c r="AZ526" s="1032">
        <v>344</v>
      </c>
      <c r="BA526" s="924">
        <v>-24</v>
      </c>
      <c r="BB526" s="924">
        <v>-41</v>
      </c>
      <c r="BC526" s="924">
        <v>-204</v>
      </c>
      <c r="BD526" s="265">
        <f>BE526</f>
        <v>-63</v>
      </c>
      <c r="BE526" s="1032">
        <v>-63</v>
      </c>
      <c r="BF526" s="924">
        <v>33</v>
      </c>
      <c r="BG526" s="924">
        <v>-1</v>
      </c>
      <c r="BH526" s="925">
        <v>73</v>
      </c>
      <c r="BI526" s="210"/>
      <c r="BJ526" s="994"/>
      <c r="BK526" s="210"/>
      <c r="BL526" s="210"/>
      <c r="BM526" s="210"/>
      <c r="BN526" s="210"/>
      <c r="BO526" s="994"/>
      <c r="BP526" s="994"/>
      <c r="BQ526" s="994"/>
      <c r="BR526" s="994"/>
      <c r="BS526" s="833"/>
    </row>
    <row r="527" spans="1:71" s="24" customFormat="1" ht="15" hidden="1" outlineLevel="1">
      <c r="A527" s="263" t="s">
        <v>196</v>
      </c>
      <c r="B527" s="462"/>
      <c r="C527" s="1032">
        <v>-3797</v>
      </c>
      <c r="D527" s="1032">
        <v>-3826</v>
      </c>
      <c r="E527" s="1032">
        <v>-3881</v>
      </c>
      <c r="F527" s="1032">
        <v>-3914</v>
      </c>
      <c r="G527" s="1032">
        <v>-3759</v>
      </c>
      <c r="H527" s="924">
        <v>-986</v>
      </c>
      <c r="I527" s="924">
        <v>-1989</v>
      </c>
      <c r="J527" s="924">
        <v>-2993</v>
      </c>
      <c r="K527" s="265">
        <f>L527</f>
        <v>-3926</v>
      </c>
      <c r="L527" s="1032">
        <v>-3926</v>
      </c>
      <c r="M527" s="924">
        <v>-987</v>
      </c>
      <c r="N527" s="924">
        <v>-1991</v>
      </c>
      <c r="O527" s="924">
        <v>-2998</v>
      </c>
      <c r="P527" s="265">
        <f>Q527</f>
        <v>-3920</v>
      </c>
      <c r="Q527" s="1032">
        <v>-3920</v>
      </c>
      <c r="R527" s="924">
        <v>-1014</v>
      </c>
      <c r="S527" s="924">
        <v>-2062</v>
      </c>
      <c r="T527" s="924">
        <v>-3096</v>
      </c>
      <c r="U527" s="265">
        <f>V527</f>
        <v>-4061</v>
      </c>
      <c r="V527" s="1032">
        <v>-4061</v>
      </c>
      <c r="W527" s="924">
        <v>-1065</v>
      </c>
      <c r="X527" s="924">
        <v>-2157</v>
      </c>
      <c r="Y527" s="924">
        <v>-3237</v>
      </c>
      <c r="Z527" s="265">
        <f>AA527</f>
        <v>-4257</v>
      </c>
      <c r="AA527" s="1032">
        <v>-4257</v>
      </c>
      <c r="AB527" s="924">
        <v>-1124</v>
      </c>
      <c r="AC527" s="924">
        <v>-2284</v>
      </c>
      <c r="AD527" s="924">
        <v>-3425</v>
      </c>
      <c r="AE527" s="265">
        <f>AF527</f>
        <v>-4488</v>
      </c>
      <c r="AF527" s="1032">
        <v>-4488</v>
      </c>
      <c r="AG527" s="924">
        <v>-1185</v>
      </c>
      <c r="AH527" s="924">
        <v>-2408</v>
      </c>
      <c r="AI527" s="924">
        <v>-3619</v>
      </c>
      <c r="AJ527" s="265">
        <f>AK527</f>
        <v>-4747</v>
      </c>
      <c r="AK527" s="1032">
        <v>-4747</v>
      </c>
      <c r="AL527" s="924">
        <v>-1215</v>
      </c>
      <c r="AM527" s="924">
        <v>-2453</v>
      </c>
      <c r="AN527" s="924">
        <v>-3694</v>
      </c>
      <c r="AO527" s="265">
        <f>AP527</f>
        <v>-4854</v>
      </c>
      <c r="AP527" s="1032">
        <v>-4854</v>
      </c>
      <c r="AQ527" s="924">
        <v>-1258</v>
      </c>
      <c r="AR527" s="924">
        <v>-2601</v>
      </c>
      <c r="AS527" s="924">
        <v>-3955</v>
      </c>
      <c r="AT527" s="265">
        <f>AU527</f>
        <v>-5227</v>
      </c>
      <c r="AU527" s="1032">
        <v>-5227</v>
      </c>
      <c r="AV527" s="924">
        <v>-1413</v>
      </c>
      <c r="AW527" s="924">
        <v>-2917</v>
      </c>
      <c r="AX527" s="924">
        <v>-4419</v>
      </c>
      <c r="AY527" s="265">
        <f>AZ527</f>
        <v>-5824</v>
      </c>
      <c r="AZ527" s="1032">
        <v>-5824</v>
      </c>
      <c r="BA527" s="924">
        <v>-1629</v>
      </c>
      <c r="BB527" s="924">
        <v>-3351</v>
      </c>
      <c r="BC527" s="924">
        <v>-5079</v>
      </c>
      <c r="BD527" s="265">
        <f>BE527</f>
        <v>-6689</v>
      </c>
      <c r="BE527" s="1032">
        <v>-6689</v>
      </c>
      <c r="BF527" s="924">
        <v>-1776</v>
      </c>
      <c r="BG527" s="924">
        <v>-3583</v>
      </c>
      <c r="BH527" s="925">
        <v>-5439</v>
      </c>
      <c r="BI527" s="210"/>
      <c r="BJ527" s="994"/>
      <c r="BK527" s="210"/>
      <c r="BL527" s="210"/>
      <c r="BM527" s="210"/>
      <c r="BN527" s="210"/>
      <c r="BO527" s="994"/>
      <c r="BP527" s="994"/>
      <c r="BQ527" s="994"/>
      <c r="BR527" s="994"/>
      <c r="BS527" s="833"/>
    </row>
    <row r="528" spans="1:71" s="24" customFormat="1" ht="15" hidden="1" outlineLevel="1">
      <c r="A528" s="263" t="s">
        <v>197</v>
      </c>
      <c r="B528" s="462"/>
      <c r="C528" s="1032">
        <v>-1596</v>
      </c>
      <c r="D528" s="1032">
        <v>-1971</v>
      </c>
      <c r="E528" s="1032">
        <v>-154</v>
      </c>
      <c r="F528" s="1032">
        <v>-540</v>
      </c>
      <c r="G528" s="1032">
        <v>-2057</v>
      </c>
      <c r="H528" s="924">
        <v>-209</v>
      </c>
      <c r="I528" s="924">
        <v>-60</v>
      </c>
      <c r="J528" s="924">
        <v>-298</v>
      </c>
      <c r="K528" s="265">
        <f>L528</f>
        <v>-704</v>
      </c>
      <c r="L528" s="1032">
        <v>-704</v>
      </c>
      <c r="M528" s="924">
        <v>-561</v>
      </c>
      <c r="N528" s="924">
        <v>-826</v>
      </c>
      <c r="O528" s="924">
        <v>-874</v>
      </c>
      <c r="P528" s="265">
        <f>Q528</f>
        <v>-1075</v>
      </c>
      <c r="Q528" s="1032">
        <v>-1075</v>
      </c>
      <c r="R528" s="924">
        <v>226</v>
      </c>
      <c r="S528" s="924">
        <v>-387</v>
      </c>
      <c r="T528" s="924">
        <v>-139</v>
      </c>
      <c r="U528" s="265">
        <f>V528</f>
        <v>-257</v>
      </c>
      <c r="V528" s="1032">
        <v>-257</v>
      </c>
      <c r="W528" s="924">
        <v>334</v>
      </c>
      <c r="X528" s="924">
        <v>498</v>
      </c>
      <c r="Y528" s="924">
        <v>1561</v>
      </c>
      <c r="Z528" s="265">
        <f>AA528</f>
        <v>1460</v>
      </c>
      <c r="AA528" s="1032">
        <v>1460</v>
      </c>
      <c r="AB528" s="924">
        <v>180</v>
      </c>
      <c r="AC528" s="924">
        <v>435</v>
      </c>
      <c r="AD528" s="924">
        <v>880</v>
      </c>
      <c r="AE528" s="265">
        <f>AF528</f>
        <v>1246</v>
      </c>
      <c r="AF528" s="1032">
        <v>1246</v>
      </c>
      <c r="AG528" s="924">
        <v>-2</v>
      </c>
      <c r="AH528" s="924">
        <v>329</v>
      </c>
      <c r="AI528" s="924">
        <v>927</v>
      </c>
      <c r="AJ528" s="265">
        <f>AK528</f>
        <v>1047</v>
      </c>
      <c r="AK528" s="1032">
        <v>1047</v>
      </c>
      <c r="AL528" s="924">
        <v>388</v>
      </c>
      <c r="AM528" s="924">
        <v>1455</v>
      </c>
      <c r="AN528" s="924">
        <v>2673</v>
      </c>
      <c r="AO528" s="265">
        <f>AP528</f>
        <v>2622</v>
      </c>
      <c r="AP528" s="1032">
        <v>2622</v>
      </c>
      <c r="AQ528" s="924">
        <v>777</v>
      </c>
      <c r="AR528" s="924">
        <v>1313</v>
      </c>
      <c r="AS528" s="924">
        <v>2299</v>
      </c>
      <c r="AT528" s="265">
        <f>AU528</f>
        <v>2388</v>
      </c>
      <c r="AU528" s="1032">
        <v>2388</v>
      </c>
      <c r="AV528" s="924">
        <v>679</v>
      </c>
      <c r="AW528" s="924">
        <v>1272</v>
      </c>
      <c r="AX528" s="924">
        <v>1694</v>
      </c>
      <c r="AY528" s="265">
        <f>AZ528</f>
        <v>2050</v>
      </c>
      <c r="AZ528" s="1032">
        <v>2050</v>
      </c>
      <c r="BA528" s="924">
        <v>381</v>
      </c>
      <c r="BB528" s="924">
        <v>1794</v>
      </c>
      <c r="BC528" s="924">
        <v>3053</v>
      </c>
      <c r="BD528" s="265">
        <f>BE528</f>
        <v>2843</v>
      </c>
      <c r="BE528" s="1032">
        <v>2843</v>
      </c>
      <c r="BF528" s="924">
        <v>928</v>
      </c>
      <c r="BG528" s="924">
        <v>2312</v>
      </c>
      <c r="BH528" s="925">
        <v>3067</v>
      </c>
      <c r="BI528" s="210"/>
      <c r="BJ528" s="994"/>
      <c r="BK528" s="210"/>
      <c r="BL528" s="210"/>
      <c r="BM528" s="210"/>
      <c r="BN528" s="210"/>
      <c r="BO528" s="994"/>
      <c r="BP528" s="994"/>
      <c r="BQ528" s="994"/>
      <c r="BR528" s="994"/>
      <c r="BS528" s="833"/>
    </row>
    <row r="529" spans="1:71" s="24" customFormat="1" ht="15" hidden="1" outlineLevel="1">
      <c r="A529" s="263" t="s">
        <v>198</v>
      </c>
      <c r="B529" s="462"/>
      <c r="C529" s="1032">
        <v>-96</v>
      </c>
      <c r="D529" s="1032">
        <v>63</v>
      </c>
      <c r="E529" s="1032">
        <v>188</v>
      </c>
      <c r="F529" s="1032">
        <v>123</v>
      </c>
      <c r="G529" s="1032">
        <v>27</v>
      </c>
      <c r="H529" s="924">
        <v>94</v>
      </c>
      <c r="I529" s="924">
        <v>235</v>
      </c>
      <c r="J529" s="924">
        <v>379</v>
      </c>
      <c r="K529" s="265">
        <f>L529</f>
        <v>73</v>
      </c>
      <c r="L529" s="1032">
        <v>73</v>
      </c>
      <c r="M529" s="924">
        <v>185</v>
      </c>
      <c r="N529" s="924">
        <v>362</v>
      </c>
      <c r="O529" s="924">
        <v>542</v>
      </c>
      <c r="P529" s="265">
        <f>Q529</f>
        <v>248</v>
      </c>
      <c r="Q529" s="1032">
        <v>248</v>
      </c>
      <c r="R529" s="924">
        <v>328</v>
      </c>
      <c r="S529" s="924">
        <v>531</v>
      </c>
      <c r="T529" s="924">
        <v>725</v>
      </c>
      <c r="U529" s="265">
        <f>V529</f>
        <v>372</v>
      </c>
      <c r="V529" s="1032">
        <v>372</v>
      </c>
      <c r="W529" s="924">
        <v>475</v>
      </c>
      <c r="X529" s="924">
        <v>689</v>
      </c>
      <c r="Y529" s="924">
        <v>852</v>
      </c>
      <c r="Z529" s="265">
        <f>AA529</f>
        <v>521</v>
      </c>
      <c r="AA529" s="1032">
        <v>521</v>
      </c>
      <c r="AB529" s="924">
        <v>518</v>
      </c>
      <c r="AC529" s="924">
        <v>879</v>
      </c>
      <c r="AD529" s="924">
        <v>1095</v>
      </c>
      <c r="AE529" s="265">
        <f>AF529</f>
        <v>710</v>
      </c>
      <c r="AF529" s="1032">
        <v>710</v>
      </c>
      <c r="AG529" s="924">
        <v>551</v>
      </c>
      <c r="AH529" s="924">
        <v>958</v>
      </c>
      <c r="AI529" s="924">
        <v>1350</v>
      </c>
      <c r="AJ529" s="265">
        <f>AK529</f>
        <v>1008</v>
      </c>
      <c r="AK529" s="1032">
        <v>1008</v>
      </c>
      <c r="AL529" s="924">
        <v>414</v>
      </c>
      <c r="AM529" s="924">
        <v>643</v>
      </c>
      <c r="AN529" s="924">
        <v>960</v>
      </c>
      <c r="AO529" s="265">
        <f>AP529</f>
        <v>592</v>
      </c>
      <c r="AP529" s="1032">
        <v>592</v>
      </c>
      <c r="AQ529" s="924">
        <v>509</v>
      </c>
      <c r="AR529" s="924">
        <v>968</v>
      </c>
      <c r="AS529" s="924">
        <v>1460</v>
      </c>
      <c r="AT529" s="265">
        <f>AU529</f>
        <v>1249</v>
      </c>
      <c r="AU529" s="1032">
        <v>1249</v>
      </c>
      <c r="AV529" s="924">
        <v>727</v>
      </c>
      <c r="AW529" s="924">
        <v>1398</v>
      </c>
      <c r="AX529" s="924">
        <v>2033</v>
      </c>
      <c r="AY529" s="265">
        <f>AZ529</f>
        <v>1862</v>
      </c>
      <c r="AZ529" s="1032">
        <v>1862</v>
      </c>
      <c r="BA529" s="924">
        <v>893</v>
      </c>
      <c r="BB529" s="924">
        <v>1935</v>
      </c>
      <c r="BC529" s="924">
        <v>2817</v>
      </c>
      <c r="BD529" s="265">
        <f>BE529</f>
        <v>2590</v>
      </c>
      <c r="BE529" s="1032">
        <v>2590</v>
      </c>
      <c r="BF529" s="924">
        <v>457</v>
      </c>
      <c r="BG529" s="924">
        <v>1245</v>
      </c>
      <c r="BH529" s="925">
        <v>1904</v>
      </c>
      <c r="BI529" s="210"/>
      <c r="BJ529" s="994"/>
      <c r="BK529" s="210"/>
      <c r="BL529" s="210"/>
      <c r="BM529" s="210"/>
      <c r="BN529" s="210"/>
      <c r="BO529" s="994"/>
      <c r="BP529" s="994"/>
      <c r="BQ529" s="994"/>
      <c r="BR529" s="994"/>
      <c r="BS529" s="833"/>
    </row>
    <row r="530" spans="1:71" s="24" customFormat="1" ht="15" hidden="1" outlineLevel="1">
      <c r="A530" s="263" t="s">
        <v>199</v>
      </c>
      <c r="B530" s="462"/>
      <c r="C530" s="994"/>
      <c r="D530" s="994"/>
      <c r="E530" s="994"/>
      <c r="F530" s="994"/>
      <c r="G530" s="994"/>
      <c r="H530" s="210"/>
      <c r="I530" s="210"/>
      <c r="J530" s="210"/>
      <c r="K530" s="210"/>
      <c r="L530" s="994"/>
      <c r="M530" s="210"/>
      <c r="N530" s="210"/>
      <c r="O530" s="210"/>
      <c r="P530" s="210"/>
      <c r="Q530" s="994"/>
      <c r="R530" s="210"/>
      <c r="S530" s="210"/>
      <c r="T530" s="210"/>
      <c r="U530" s="210"/>
      <c r="V530" s="994"/>
      <c r="W530" s="210"/>
      <c r="X530" s="210"/>
      <c r="Y530" s="210"/>
      <c r="Z530" s="210"/>
      <c r="AA530" s="994"/>
      <c r="AB530" s="210"/>
      <c r="AC530" s="210"/>
      <c r="AD530" s="210"/>
      <c r="AE530" s="210"/>
      <c r="AF530" s="994"/>
      <c r="AG530" s="210"/>
      <c r="AH530" s="210"/>
      <c r="AI530" s="210"/>
      <c r="AJ530" s="210"/>
      <c r="AK530" s="994"/>
      <c r="AL530" s="210"/>
      <c r="AM530" s="210"/>
      <c r="AN530" s="210"/>
      <c r="AO530" s="210"/>
      <c r="AP530" s="994"/>
      <c r="AQ530" s="210"/>
      <c r="AR530" s="210"/>
      <c r="AS530" s="210"/>
      <c r="AT530" s="210"/>
      <c r="AU530" s="994"/>
      <c r="AV530" s="210"/>
      <c r="AW530" s="210"/>
      <c r="AX530" s="210"/>
      <c r="AY530" s="210"/>
      <c r="AZ530" s="994"/>
      <c r="BA530" s="210"/>
      <c r="BB530" s="210"/>
      <c r="BC530" s="210"/>
      <c r="BD530" s="210"/>
      <c r="BE530" s="994"/>
      <c r="BF530" s="210"/>
      <c r="BG530" s="210"/>
      <c r="BH530" s="553"/>
      <c r="BI530" s="210"/>
      <c r="BJ530" s="994"/>
      <c r="BK530" s="210"/>
      <c r="BL530" s="210"/>
      <c r="BM530" s="210"/>
      <c r="BN530" s="210"/>
      <c r="BO530" s="994"/>
      <c r="BP530" s="994"/>
      <c r="BQ530" s="994"/>
      <c r="BR530" s="994"/>
      <c r="BS530" s="833"/>
    </row>
    <row r="531" spans="1:71" s="24" customFormat="1" ht="15" hidden="1" outlineLevel="1">
      <c r="A531" s="60" t="s">
        <v>200</v>
      </c>
      <c r="B531" s="478"/>
      <c r="C531" s="1033">
        <v>-614</v>
      </c>
      <c r="D531" s="1033">
        <v>53</v>
      </c>
      <c r="E531" s="1033">
        <v>-387</v>
      </c>
      <c r="F531" s="1033">
        <v>206</v>
      </c>
      <c r="G531" s="1033">
        <v>262</v>
      </c>
      <c r="H531" s="927">
        <v>-355</v>
      </c>
      <c r="I531" s="927">
        <v>-550</v>
      </c>
      <c r="J531" s="927">
        <v>181</v>
      </c>
      <c r="K531" s="186">
        <f>L531</f>
        <v>63</v>
      </c>
      <c r="L531" s="1033">
        <v>63</v>
      </c>
      <c r="M531" s="927">
        <v>-350</v>
      </c>
      <c r="N531" s="927">
        <v>-435</v>
      </c>
      <c r="O531" s="927">
        <v>95</v>
      </c>
      <c r="P531" s="186">
        <f>Q531</f>
        <v>56</v>
      </c>
      <c r="Q531" s="1033">
        <v>56</v>
      </c>
      <c r="R531" s="927">
        <v>-395</v>
      </c>
      <c r="S531" s="927">
        <v>-287</v>
      </c>
      <c r="T531" s="927">
        <v>116</v>
      </c>
      <c r="U531" s="186">
        <f>V531</f>
        <v>189</v>
      </c>
      <c r="V531" s="1033">
        <v>189</v>
      </c>
      <c r="W531" s="927">
        <v>-645</v>
      </c>
      <c r="X531" s="927">
        <v>-460</v>
      </c>
      <c r="Y531" s="927">
        <v>-268</v>
      </c>
      <c r="Z531" s="186">
        <f>AA531</f>
        <v>-343</v>
      </c>
      <c r="AA531" s="1033">
        <v>-343</v>
      </c>
      <c r="AB531" s="927">
        <v>-430</v>
      </c>
      <c r="AC531" s="927">
        <v>-183</v>
      </c>
      <c r="AD531" s="927">
        <v>22</v>
      </c>
      <c r="AE531" s="186">
        <f>AF531</f>
        <v>190</v>
      </c>
      <c r="AF531" s="1033">
        <v>190</v>
      </c>
      <c r="AG531" s="927">
        <v>-458</v>
      </c>
      <c r="AH531" s="927">
        <v>-264</v>
      </c>
      <c r="AI531" s="927">
        <v>91</v>
      </c>
      <c r="AJ531" s="186">
        <f>AK531</f>
        <v>535</v>
      </c>
      <c r="AK531" s="1033">
        <v>535</v>
      </c>
      <c r="AL531" s="927">
        <v>-636</v>
      </c>
      <c r="AM531" s="927">
        <v>-344</v>
      </c>
      <c r="AN531" s="927">
        <v>-382</v>
      </c>
      <c r="AO531" s="186">
        <f>AP531</f>
        <v>129</v>
      </c>
      <c r="AP531" s="1033">
        <v>129</v>
      </c>
      <c r="AQ531" s="927">
        <v>-504</v>
      </c>
      <c r="AR531" s="927">
        <v>-94</v>
      </c>
      <c r="AS531" s="927">
        <v>313</v>
      </c>
      <c r="AT531" s="186">
        <f>AU531</f>
        <v>750</v>
      </c>
      <c r="AU531" s="1033">
        <v>750</v>
      </c>
      <c r="AV531" s="927">
        <v>-443</v>
      </c>
      <c r="AW531" s="927">
        <v>-440</v>
      </c>
      <c r="AX531" s="927">
        <v>-12</v>
      </c>
      <c r="AY531" s="186">
        <f>AZ531</f>
        <v>45</v>
      </c>
      <c r="AZ531" s="1033">
        <v>45</v>
      </c>
      <c r="BA531" s="927">
        <v>-689</v>
      </c>
      <c r="BB531" s="927">
        <v>-592</v>
      </c>
      <c r="BC531" s="927">
        <v>97</v>
      </c>
      <c r="BD531" s="186">
        <f>BE531</f>
        <v>647</v>
      </c>
      <c r="BE531" s="1033">
        <v>647</v>
      </c>
      <c r="BF531" s="927">
        <v>-583</v>
      </c>
      <c r="BG531" s="927">
        <v>-858</v>
      </c>
      <c r="BH531" s="928">
        <v>104</v>
      </c>
      <c r="BI531" s="205"/>
      <c r="BJ531" s="996"/>
      <c r="BK531" s="205"/>
      <c r="BL531" s="205"/>
      <c r="BM531" s="205"/>
      <c r="BN531" s="205"/>
      <c r="BO531" s="996"/>
      <c r="BP531" s="996"/>
      <c r="BQ531" s="996"/>
      <c r="BR531" s="996"/>
      <c r="BS531" s="833"/>
    </row>
    <row r="532" spans="1:71" s="181" customFormat="1" ht="15" hidden="1" outlineLevel="1">
      <c r="A532" s="62" t="s">
        <v>201</v>
      </c>
      <c r="B532" s="479"/>
      <c r="C532" s="997">
        <f t="shared" si="1074" ref="C532:AM532">SUM(C524:C531)</f>
        <v>4231</v>
      </c>
      <c r="D532" s="997">
        <f t="shared" si="1074"/>
        <v>3054</v>
      </c>
      <c r="E532" s="997">
        <f t="shared" si="1074"/>
        <v>2169</v>
      </c>
      <c r="F532" s="997">
        <f t="shared" si="1074"/>
        <v>3230</v>
      </c>
      <c r="G532" s="997">
        <f t="shared" si="1074"/>
        <v>3816</v>
      </c>
      <c r="H532" s="193">
        <f t="shared" si="1074"/>
        <v>703</v>
      </c>
      <c r="I532" s="193">
        <f t="shared" si="1074"/>
        <v>1328</v>
      </c>
      <c r="J532" s="193">
        <f t="shared" si="1074"/>
        <v>3168</v>
      </c>
      <c r="K532" s="193">
        <f t="shared" si="1074"/>
        <v>3693</v>
      </c>
      <c r="L532" s="997">
        <f t="shared" si="1074"/>
        <v>3693</v>
      </c>
      <c r="M532" s="193">
        <f t="shared" si="1074"/>
        <v>199</v>
      </c>
      <c r="N532" s="193">
        <f t="shared" si="1074"/>
        <v>875</v>
      </c>
      <c r="O532" s="193">
        <f t="shared" si="1074"/>
        <v>2674</v>
      </c>
      <c r="P532" s="193">
        <f t="shared" si="1074"/>
        <v>3434</v>
      </c>
      <c r="Q532" s="997">
        <f t="shared" si="1074"/>
        <v>3434</v>
      </c>
      <c r="R532" s="193">
        <f t="shared" si="1074"/>
        <v>850</v>
      </c>
      <c r="S532" s="193">
        <f t="shared" si="1074"/>
        <v>1293</v>
      </c>
      <c r="T532" s="193">
        <f t="shared" si="1074"/>
        <v>3063</v>
      </c>
      <c r="U532" s="193">
        <f t="shared" si="1074"/>
        <v>4202</v>
      </c>
      <c r="V532" s="997">
        <f t="shared" si="1074"/>
        <v>4202</v>
      </c>
      <c r="W532" s="193">
        <f t="shared" si="1074"/>
        <v>775</v>
      </c>
      <c r="X532" s="193">
        <f t="shared" si="1074"/>
        <v>1585</v>
      </c>
      <c r="Y532" s="193">
        <f t="shared" si="1074"/>
        <v>3224</v>
      </c>
      <c r="Z532" s="193">
        <f t="shared" si="1074"/>
        <v>3762</v>
      </c>
      <c r="AA532" s="997">
        <f t="shared" si="1074"/>
        <v>3762</v>
      </c>
      <c r="AB532" s="193">
        <f t="shared" si="1074"/>
        <v>554</v>
      </c>
      <c r="AC532" s="193">
        <f t="shared" si="1074"/>
        <v>1698</v>
      </c>
      <c r="AD532" s="193">
        <f t="shared" si="1074"/>
        <v>3432</v>
      </c>
      <c r="AE532" s="193">
        <f t="shared" si="1074"/>
        <v>4380</v>
      </c>
      <c r="AF532" s="997">
        <f t="shared" si="1074"/>
        <v>4380</v>
      </c>
      <c r="AG532" s="193">
        <f t="shared" si="1074"/>
        <v>639</v>
      </c>
      <c r="AH532" s="193">
        <f t="shared" si="1074"/>
        <v>1792</v>
      </c>
      <c r="AI532" s="193">
        <f t="shared" si="1074"/>
        <v>3793</v>
      </c>
      <c r="AJ532" s="193">
        <f t="shared" si="1074"/>
        <v>5205</v>
      </c>
      <c r="AK532" s="997">
        <f t="shared" si="1074"/>
        <v>5205</v>
      </c>
      <c r="AL532" s="193">
        <f t="shared" si="1074"/>
        <v>628</v>
      </c>
      <c r="AM532" s="193">
        <f t="shared" si="1074"/>
        <v>2292</v>
      </c>
      <c r="AN532" s="193">
        <f>SUM(AN524:AN531)</f>
        <v>4618</v>
      </c>
      <c r="AO532" s="193">
        <f t="shared" si="1075" ref="AO532:AQ532">SUM(AO524:AO531)</f>
        <v>6519</v>
      </c>
      <c r="AP532" s="997">
        <f t="shared" si="1075"/>
        <v>6519</v>
      </c>
      <c r="AQ532" s="193">
        <f t="shared" si="1075"/>
        <v>1190</v>
      </c>
      <c r="AR532" s="193">
        <f t="shared" si="1076" ref="AR532:AW532">SUM(AR524:AR531)</f>
        <v>3039</v>
      </c>
      <c r="AS532" s="193">
        <f t="shared" si="1076"/>
        <v>5582</v>
      </c>
      <c r="AT532" s="193">
        <f t="shared" si="1076"/>
        <v>7274</v>
      </c>
      <c r="AU532" s="997">
        <f t="shared" si="1076"/>
        <v>7274</v>
      </c>
      <c r="AV532" s="193">
        <f t="shared" si="1076"/>
        <v>1266</v>
      </c>
      <c r="AW532" s="193">
        <f t="shared" si="1076"/>
        <v>2641</v>
      </c>
      <c r="AX532" s="193">
        <f t="shared" si="1077" ref="AX532:BC532">SUM(AX524:AX531)</f>
        <v>5125</v>
      </c>
      <c r="AY532" s="193">
        <f t="shared" si="1077"/>
        <v>6465</v>
      </c>
      <c r="AZ532" s="997">
        <f t="shared" si="1077"/>
        <v>6465</v>
      </c>
      <c r="BA532" s="193">
        <f t="shared" si="1077"/>
        <v>1012</v>
      </c>
      <c r="BB532" s="193">
        <f t="shared" si="1077"/>
        <v>2561</v>
      </c>
      <c r="BC532" s="193">
        <f t="shared" si="1077"/>
        <v>5607</v>
      </c>
      <c r="BD532" s="193">
        <f>SUM(BD524:BD531)</f>
        <v>7711</v>
      </c>
      <c r="BE532" s="997">
        <f>SUM(BE524:BE531)</f>
        <v>7711</v>
      </c>
      <c r="BF532" s="193">
        <f>SUM(BF524:BF531)</f>
        <v>1458</v>
      </c>
      <c r="BG532" s="193">
        <f>SUM(BG524:BG531)</f>
        <v>3135</v>
      </c>
      <c r="BH532" s="747">
        <f>SUM(BH524:BH531)</f>
        <v>7010</v>
      </c>
      <c r="BI532" s="194"/>
      <c r="BJ532" s="998"/>
      <c r="BK532" s="194"/>
      <c r="BL532" s="194"/>
      <c r="BM532" s="194"/>
      <c r="BN532" s="194"/>
      <c r="BO532" s="998"/>
      <c r="BP532" s="998"/>
      <c r="BQ532" s="998"/>
      <c r="BR532" s="998"/>
      <c r="BS532" s="423"/>
    </row>
    <row r="533" spans="1:71" s="181" customFormat="1" ht="15" hidden="1" outlineLevel="1">
      <c r="A533" s="453"/>
      <c r="B533" s="480"/>
      <c r="C533" s="1009"/>
      <c r="D533" s="1009"/>
      <c r="E533" s="1009"/>
      <c r="F533" s="1009"/>
      <c r="G533" s="1009"/>
      <c r="H533" s="199"/>
      <c r="I533" s="199"/>
      <c r="J533" s="199"/>
      <c r="K533" s="199"/>
      <c r="L533" s="1009"/>
      <c r="M533" s="199"/>
      <c r="N533" s="199"/>
      <c r="O533" s="199"/>
      <c r="P533" s="199"/>
      <c r="Q533" s="1009"/>
      <c r="R533" s="199"/>
      <c r="S533" s="199"/>
      <c r="T533" s="199"/>
      <c r="U533" s="199"/>
      <c r="V533" s="1009"/>
      <c r="W533" s="199"/>
      <c r="X533" s="199"/>
      <c r="Y533" s="199"/>
      <c r="Z533" s="199"/>
      <c r="AA533" s="1009"/>
      <c r="AB533" s="199"/>
      <c r="AC533" s="199"/>
      <c r="AD533" s="199"/>
      <c r="AE533" s="199"/>
      <c r="AF533" s="1009"/>
      <c r="AG533" s="199"/>
      <c r="AH533" s="199"/>
      <c r="AI533" s="199"/>
      <c r="AJ533" s="199"/>
      <c r="AK533" s="1009"/>
      <c r="AL533" s="199"/>
      <c r="AM533" s="199"/>
      <c r="AN533" s="199"/>
      <c r="AO533" s="199"/>
      <c r="AP533" s="1009"/>
      <c r="AQ533" s="199"/>
      <c r="AR533" s="199"/>
      <c r="AS533" s="199"/>
      <c r="AT533" s="199"/>
      <c r="AU533" s="1009"/>
      <c r="AV533" s="199"/>
      <c r="AW533" s="199"/>
      <c r="AX533" s="199"/>
      <c r="AY533" s="199"/>
      <c r="AZ533" s="1009"/>
      <c r="BA533" s="199"/>
      <c r="BB533" s="199"/>
      <c r="BC533" s="199"/>
      <c r="BD533" s="199"/>
      <c r="BE533" s="1009"/>
      <c r="BF533" s="199"/>
      <c r="BG533" s="199"/>
      <c r="BH533" s="554"/>
      <c r="BI533" s="199"/>
      <c r="BJ533" s="1009"/>
      <c r="BK533" s="199"/>
      <c r="BL533" s="199"/>
      <c r="BM533" s="199"/>
      <c r="BN533" s="199"/>
      <c r="BO533" s="1009"/>
      <c r="BP533" s="1009"/>
      <c r="BQ533" s="1009"/>
      <c r="BR533" s="1009"/>
      <c r="BS533" s="423"/>
    </row>
    <row r="534" spans="1:71" s="181" customFormat="1" ht="15" hidden="1" outlineLevel="1">
      <c r="A534" s="183" t="s">
        <v>202</v>
      </c>
      <c r="B534" s="480"/>
      <c r="C534" s="1009"/>
      <c r="D534" s="1009"/>
      <c r="E534" s="1009"/>
      <c r="F534" s="1009"/>
      <c r="G534" s="1009"/>
      <c r="H534" s="199"/>
      <c r="I534" s="199"/>
      <c r="J534" s="199"/>
      <c r="K534" s="199"/>
      <c r="L534" s="1009"/>
      <c r="M534" s="199"/>
      <c r="N534" s="199"/>
      <c r="O534" s="199"/>
      <c r="P534" s="199"/>
      <c r="Q534" s="1009"/>
      <c r="R534" s="199"/>
      <c r="S534" s="199"/>
      <c r="T534" s="199"/>
      <c r="U534" s="199"/>
      <c r="V534" s="1009"/>
      <c r="W534" s="199"/>
      <c r="X534" s="199"/>
      <c r="Y534" s="199"/>
      <c r="Z534" s="199"/>
      <c r="AA534" s="1009"/>
      <c r="AB534" s="199"/>
      <c r="AC534" s="199"/>
      <c r="AD534" s="199"/>
      <c r="AE534" s="199"/>
      <c r="AF534" s="1009"/>
      <c r="AG534" s="199"/>
      <c r="AH534" s="199"/>
      <c r="AI534" s="199"/>
      <c r="AJ534" s="199"/>
      <c r="AK534" s="1009"/>
      <c r="AL534" s="199"/>
      <c r="AM534" s="199"/>
      <c r="AN534" s="199"/>
      <c r="AO534" s="199"/>
      <c r="AP534" s="1009"/>
      <c r="AQ534" s="199"/>
      <c r="AR534" s="199"/>
      <c r="AS534" s="199"/>
      <c r="AT534" s="199"/>
      <c r="AU534" s="1009"/>
      <c r="AV534" s="199"/>
      <c r="AW534" s="199"/>
      <c r="AX534" s="199"/>
      <c r="AY534" s="199"/>
      <c r="AZ534" s="1009"/>
      <c r="BA534" s="199"/>
      <c r="BB534" s="199"/>
      <c r="BC534" s="199"/>
      <c r="BD534" s="199"/>
      <c r="BE534" s="1009"/>
      <c r="BF534" s="199"/>
      <c r="BG534" s="199"/>
      <c r="BH534" s="554"/>
      <c r="BI534" s="199"/>
      <c r="BJ534" s="1009"/>
      <c r="BK534" s="199"/>
      <c r="BL534" s="199"/>
      <c r="BM534" s="199"/>
      <c r="BN534" s="199"/>
      <c r="BO534" s="1009"/>
      <c r="BP534" s="1009"/>
      <c r="BQ534" s="1009"/>
      <c r="BR534" s="1009"/>
      <c r="BS534" s="423"/>
    </row>
    <row r="535" spans="1:71" s="24" customFormat="1" ht="15" hidden="1" outlineLevel="1">
      <c r="A535" s="263" t="s">
        <v>203</v>
      </c>
      <c r="B535" s="462"/>
      <c r="C535" s="1032">
        <v>5316</v>
      </c>
      <c r="D535" s="1032">
        <v>5896</v>
      </c>
      <c r="E535" s="1032">
        <v>7404</v>
      </c>
      <c r="F535" s="1032">
        <v>8369</v>
      </c>
      <c r="G535" s="1032">
        <v>7904</v>
      </c>
      <c r="H535" s="924">
        <v>2312</v>
      </c>
      <c r="I535" s="924">
        <v>4915</v>
      </c>
      <c r="J535" s="924">
        <v>7975</v>
      </c>
      <c r="K535" s="265">
        <f t="shared" si="1078" ref="K535:K547">L535</f>
        <v>10894</v>
      </c>
      <c r="L535" s="1032">
        <v>10894</v>
      </c>
      <c r="M535" s="924">
        <v>2830</v>
      </c>
      <c r="N535" s="924">
        <v>5314</v>
      </c>
      <c r="O535" s="924">
        <v>8805</v>
      </c>
      <c r="P535" s="265">
        <f t="shared" si="1079" ref="P535:P547">Q535</f>
        <v>11116</v>
      </c>
      <c r="Q535" s="1032">
        <v>11116</v>
      </c>
      <c r="R535" s="924">
        <v>1748</v>
      </c>
      <c r="S535" s="924">
        <v>3773</v>
      </c>
      <c r="T535" s="924">
        <v>6648</v>
      </c>
      <c r="U535" s="265">
        <f t="shared" si="1080" ref="U535:U547">V535</f>
        <v>8975</v>
      </c>
      <c r="V535" s="1032">
        <v>8975</v>
      </c>
      <c r="W535" s="924">
        <v>2218</v>
      </c>
      <c r="X535" s="924">
        <v>4300</v>
      </c>
      <c r="Y535" s="924">
        <v>6581</v>
      </c>
      <c r="Z535" s="265">
        <f t="shared" si="1081" ref="Z535:Z547">AA535</f>
        <v>8750</v>
      </c>
      <c r="AA535" s="1032">
        <v>8750</v>
      </c>
      <c r="AB535" s="924">
        <v>1950</v>
      </c>
      <c r="AC535" s="924">
        <v>3657</v>
      </c>
      <c r="AD535" s="924">
        <v>5655</v>
      </c>
      <c r="AE535" s="265">
        <f t="shared" si="1082" ref="AE535:AE547">AF535</f>
        <v>7086</v>
      </c>
      <c r="AF535" s="1032">
        <v>7086</v>
      </c>
      <c r="AG535" s="924">
        <v>1556</v>
      </c>
      <c r="AH535" s="924">
        <v>3038</v>
      </c>
      <c r="AI535" s="924">
        <v>4895</v>
      </c>
      <c r="AJ535" s="265">
        <f t="shared" si="1083" ref="AJ535:AJ547">AK535</f>
        <v>6845</v>
      </c>
      <c r="AK535" s="1032">
        <v>6845</v>
      </c>
      <c r="AL535" s="924">
        <v>1461</v>
      </c>
      <c r="AM535" s="924">
        <v>3071</v>
      </c>
      <c r="AN535" s="924">
        <v>5241</v>
      </c>
      <c r="AO535" s="265">
        <f t="shared" si="1084" ref="AO535:AO547">AP535</f>
        <v>7387</v>
      </c>
      <c r="AP535" s="1032">
        <v>7387</v>
      </c>
      <c r="AQ535" s="924">
        <v>2064</v>
      </c>
      <c r="AR535" s="924">
        <v>4347</v>
      </c>
      <c r="AS535" s="924">
        <v>6523</v>
      </c>
      <c r="AT535" s="265">
        <f t="shared" si="1085" ref="AT535:AT547">AU535</f>
        <v>8852</v>
      </c>
      <c r="AU535" s="1032">
        <v>8852</v>
      </c>
      <c r="AV535" s="924">
        <v>1879</v>
      </c>
      <c r="AW535" s="924">
        <v>3697</v>
      </c>
      <c r="AX535" s="924">
        <v>5481</v>
      </c>
      <c r="AY535" s="265">
        <f t="shared" si="1086" ref="AY535:AY547">AZ535</f>
        <v>6837</v>
      </c>
      <c r="AZ535" s="1032">
        <v>6837</v>
      </c>
      <c r="BA535" s="924">
        <v>1538</v>
      </c>
      <c r="BB535" s="924">
        <v>3031</v>
      </c>
      <c r="BC535" s="924">
        <v>4909</v>
      </c>
      <c r="BD535" s="265">
        <f t="shared" si="1087" ref="BD535:BD547">BE535</f>
        <v>6371</v>
      </c>
      <c r="BE535" s="1032">
        <v>6371</v>
      </c>
      <c r="BF535" s="924">
        <v>1709</v>
      </c>
      <c r="BG535" s="924">
        <v>4173</v>
      </c>
      <c r="BH535" s="925">
        <v>5990</v>
      </c>
      <c r="BI535" s="210"/>
      <c r="BJ535" s="994"/>
      <c r="BK535" s="210"/>
      <c r="BL535" s="210"/>
      <c r="BM535" s="210"/>
      <c r="BN535" s="210"/>
      <c r="BO535" s="994"/>
      <c r="BP535" s="994"/>
      <c r="BQ535" s="994"/>
      <c r="BR535" s="994"/>
      <c r="BS535" s="833"/>
    </row>
    <row r="536" spans="1:71" s="24" customFormat="1" ht="15" hidden="1" outlineLevel="1">
      <c r="A536" s="263" t="s">
        <v>204</v>
      </c>
      <c r="B536" s="462"/>
      <c r="C536" s="1032">
        <v>2805</v>
      </c>
      <c r="D536" s="1032">
        <v>3713</v>
      </c>
      <c r="E536" s="1032">
        <v>1161</v>
      </c>
      <c r="F536" s="1032">
        <v>1087</v>
      </c>
      <c r="G536" s="1032">
        <v>1635</v>
      </c>
      <c r="H536" s="924">
        <v>406</v>
      </c>
      <c r="I536" s="924">
        <v>785</v>
      </c>
      <c r="J536" s="924">
        <v>927</v>
      </c>
      <c r="K536" s="265">
        <f t="shared" si="1078"/>
        <v>1049</v>
      </c>
      <c r="L536" s="1032">
        <v>1049</v>
      </c>
      <c r="M536" s="924">
        <v>906</v>
      </c>
      <c r="N536" s="924">
        <v>1226</v>
      </c>
      <c r="O536" s="924">
        <v>1555</v>
      </c>
      <c r="P536" s="265">
        <f t="shared" si="1079"/>
        <v>1950</v>
      </c>
      <c r="Q536" s="1032">
        <v>1950</v>
      </c>
      <c r="R536" s="924">
        <v>421</v>
      </c>
      <c r="S536" s="924">
        <v>739</v>
      </c>
      <c r="T536" s="924">
        <v>865</v>
      </c>
      <c r="U536" s="265">
        <f t="shared" si="1080"/>
        <v>1417</v>
      </c>
      <c r="V536" s="1032">
        <v>1417</v>
      </c>
      <c r="W536" s="924">
        <v>188</v>
      </c>
      <c r="X536" s="924">
        <v>563</v>
      </c>
      <c r="Y536" s="924">
        <v>860</v>
      </c>
      <c r="Z536" s="265">
        <f t="shared" si="1081"/>
        <v>1854</v>
      </c>
      <c r="AA536" s="1032">
        <v>1854</v>
      </c>
      <c r="AB536" s="924">
        <v>1085</v>
      </c>
      <c r="AC536" s="924">
        <v>2607</v>
      </c>
      <c r="AD536" s="924">
        <v>3185</v>
      </c>
      <c r="AE536" s="265">
        <f t="shared" si="1082"/>
        <v>3546</v>
      </c>
      <c r="AF536" s="1032">
        <v>3546</v>
      </c>
      <c r="AG536" s="924">
        <v>769</v>
      </c>
      <c r="AH536" s="924">
        <v>1495</v>
      </c>
      <c r="AI536" s="924">
        <v>1801</v>
      </c>
      <c r="AJ536" s="265">
        <f t="shared" si="1083"/>
        <v>2187</v>
      </c>
      <c r="AK536" s="1032">
        <v>2187</v>
      </c>
      <c r="AL536" s="924">
        <v>388</v>
      </c>
      <c r="AM536" s="924">
        <v>1220</v>
      </c>
      <c r="AN536" s="924">
        <v>1994</v>
      </c>
      <c r="AO536" s="265">
        <f t="shared" si="1084"/>
        <v>3057</v>
      </c>
      <c r="AP536" s="1032">
        <v>3057</v>
      </c>
      <c r="AQ536" s="924">
        <v>1238</v>
      </c>
      <c r="AR536" s="924">
        <v>2482</v>
      </c>
      <c r="AS536" s="924">
        <v>2864</v>
      </c>
      <c r="AT536" s="265">
        <f t="shared" si="1085"/>
        <v>3165</v>
      </c>
      <c r="AU536" s="1032">
        <v>3165</v>
      </c>
      <c r="AV536" s="924">
        <v>1044</v>
      </c>
      <c r="AW536" s="924">
        <v>2701</v>
      </c>
      <c r="AX536" s="924">
        <v>3951</v>
      </c>
      <c r="AY536" s="265">
        <f t="shared" si="1086"/>
        <v>5657</v>
      </c>
      <c r="AZ536" s="1032">
        <v>5657</v>
      </c>
      <c r="BA536" s="924">
        <v>2364</v>
      </c>
      <c r="BB536" s="924">
        <v>3115</v>
      </c>
      <c r="BC536" s="924">
        <v>4619</v>
      </c>
      <c r="BD536" s="265">
        <f t="shared" si="1087"/>
        <v>4981</v>
      </c>
      <c r="BE536" s="1032">
        <v>4981</v>
      </c>
      <c r="BF536" s="924">
        <v>942</v>
      </c>
      <c r="BG536" s="924">
        <v>1250</v>
      </c>
      <c r="BH536" s="925">
        <v>1475</v>
      </c>
      <c r="BI536" s="210"/>
      <c r="BJ536" s="994"/>
      <c r="BK536" s="210"/>
      <c r="BL536" s="210"/>
      <c r="BM536" s="210"/>
      <c r="BN536" s="210"/>
      <c r="BO536" s="994"/>
      <c r="BP536" s="994"/>
      <c r="BQ536" s="994"/>
      <c r="BR536" s="994"/>
      <c r="BS536" s="833"/>
    </row>
    <row r="537" spans="1:71" s="24" customFormat="1" ht="15" hidden="1" outlineLevel="1">
      <c r="A537" s="263" t="s">
        <v>205</v>
      </c>
      <c r="B537" s="462"/>
      <c r="C537" s="1032">
        <v>65</v>
      </c>
      <c r="D537" s="1032">
        <v>201</v>
      </c>
      <c r="E537" s="1032">
        <v>135</v>
      </c>
      <c r="F537" s="1032">
        <v>37</v>
      </c>
      <c r="G537" s="1032">
        <v>86</v>
      </c>
      <c r="H537" s="924">
        <v>36</v>
      </c>
      <c r="I537" s="924">
        <v>95</v>
      </c>
      <c r="J537" s="924">
        <v>128</v>
      </c>
      <c r="K537" s="265">
        <f t="shared" si="1078"/>
        <v>158</v>
      </c>
      <c r="L537" s="1032">
        <v>158</v>
      </c>
      <c r="M537" s="924">
        <v>11</v>
      </c>
      <c r="N537" s="924">
        <v>28</v>
      </c>
      <c r="O537" s="924">
        <v>38</v>
      </c>
      <c r="P537" s="265">
        <f t="shared" si="1079"/>
        <v>59</v>
      </c>
      <c r="Q537" s="1032">
        <v>59</v>
      </c>
      <c r="R537" s="924">
        <v>14</v>
      </c>
      <c r="S537" s="924">
        <v>38</v>
      </c>
      <c r="T537" s="924">
        <v>71</v>
      </c>
      <c r="U537" s="265">
        <f t="shared" si="1080"/>
        <v>92</v>
      </c>
      <c r="V537" s="1032">
        <v>92</v>
      </c>
      <c r="W537" s="924">
        <v>21</v>
      </c>
      <c r="X537" s="924">
        <v>200</v>
      </c>
      <c r="Y537" s="924">
        <v>340</v>
      </c>
      <c r="Z537" s="265">
        <f t="shared" si="1081"/>
        <v>765</v>
      </c>
      <c r="AA537" s="1032">
        <v>765</v>
      </c>
      <c r="AB537" s="924">
        <v>26</v>
      </c>
      <c r="AC537" s="924">
        <v>92</v>
      </c>
      <c r="AD537" s="924">
        <v>127</v>
      </c>
      <c r="AE537" s="265">
        <f t="shared" si="1082"/>
        <v>178</v>
      </c>
      <c r="AF537" s="1032">
        <v>178</v>
      </c>
      <c r="AG537" s="924">
        <v>39</v>
      </c>
      <c r="AH537" s="924">
        <v>71</v>
      </c>
      <c r="AI537" s="924">
        <v>99</v>
      </c>
      <c r="AJ537" s="265">
        <f t="shared" si="1083"/>
        <v>140</v>
      </c>
      <c r="AK537" s="1032">
        <v>140</v>
      </c>
      <c r="AL537" s="924">
        <v>33</v>
      </c>
      <c r="AM537" s="924">
        <v>54</v>
      </c>
      <c r="AN537" s="924">
        <v>76</v>
      </c>
      <c r="AO537" s="265">
        <f t="shared" si="1084"/>
        <v>111</v>
      </c>
      <c r="AP537" s="1032">
        <v>111</v>
      </c>
      <c r="AQ537" s="924">
        <v>25</v>
      </c>
      <c r="AR537" s="924">
        <v>45</v>
      </c>
      <c r="AS537" s="924">
        <v>74</v>
      </c>
      <c r="AT537" s="265">
        <f t="shared" si="1085"/>
        <v>102</v>
      </c>
      <c r="AU537" s="1032">
        <v>102</v>
      </c>
      <c r="AV537" s="924">
        <v>63</v>
      </c>
      <c r="AW537" s="924">
        <v>84</v>
      </c>
      <c r="AX537" s="924">
        <v>104</v>
      </c>
      <c r="AY537" s="265">
        <f t="shared" si="1086"/>
        <v>138</v>
      </c>
      <c r="AZ537" s="1032">
        <v>138</v>
      </c>
      <c r="BA537" s="924">
        <v>28</v>
      </c>
      <c r="BB537" s="924">
        <v>90</v>
      </c>
      <c r="BC537" s="924">
        <v>117</v>
      </c>
      <c r="BD537" s="265">
        <f t="shared" si="1087"/>
        <v>138</v>
      </c>
      <c r="BE537" s="1032">
        <v>138</v>
      </c>
      <c r="BF537" s="924">
        <v>21</v>
      </c>
      <c r="BG537" s="924">
        <v>62</v>
      </c>
      <c r="BH537" s="925">
        <v>93</v>
      </c>
      <c r="BI537" s="210"/>
      <c r="BJ537" s="994"/>
      <c r="BK537" s="210"/>
      <c r="BL537" s="210"/>
      <c r="BM537" s="210"/>
      <c r="BN537" s="210"/>
      <c r="BO537" s="994"/>
      <c r="BP537" s="994"/>
      <c r="BQ537" s="994"/>
      <c r="BR537" s="994"/>
      <c r="BS537" s="833"/>
    </row>
    <row r="538" spans="1:71" s="24" customFormat="1" ht="15" hidden="1" outlineLevel="1">
      <c r="A538" s="263" t="s">
        <v>206</v>
      </c>
      <c r="B538" s="462"/>
      <c r="C538" s="1032">
        <v>0</v>
      </c>
      <c r="D538" s="1032">
        <v>10</v>
      </c>
      <c r="E538" s="1032">
        <v>1</v>
      </c>
      <c r="F538" s="1032">
        <v>53</v>
      </c>
      <c r="G538" s="1032">
        <v>18</v>
      </c>
      <c r="H538" s="924">
        <v>1</v>
      </c>
      <c r="I538" s="924">
        <v>5</v>
      </c>
      <c r="J538" s="924">
        <v>5</v>
      </c>
      <c r="K538" s="265">
        <f t="shared" si="1078"/>
        <v>15</v>
      </c>
      <c r="L538" s="1032">
        <v>15</v>
      </c>
      <c r="M538" s="924">
        <v>7</v>
      </c>
      <c r="N538" s="924">
        <v>10</v>
      </c>
      <c r="O538" s="924">
        <v>15</v>
      </c>
      <c r="P538" s="265">
        <f t="shared" si="1079"/>
        <v>31</v>
      </c>
      <c r="Q538" s="1032">
        <v>31</v>
      </c>
      <c r="R538" s="924">
        <v>69</v>
      </c>
      <c r="S538" s="924">
        <v>69</v>
      </c>
      <c r="T538" s="924">
        <v>69</v>
      </c>
      <c r="U538" s="265">
        <f t="shared" si="1080"/>
        <v>69</v>
      </c>
      <c r="V538" s="1032">
        <v>69</v>
      </c>
      <c r="W538" s="924">
        <v>11</v>
      </c>
      <c r="X538" s="924">
        <v>20</v>
      </c>
      <c r="Y538" s="924">
        <v>23</v>
      </c>
      <c r="Z538" s="265">
        <f t="shared" si="1081"/>
        <v>23</v>
      </c>
      <c r="AA538" s="1032">
        <v>23</v>
      </c>
      <c r="AB538" s="210"/>
      <c r="AC538" s="924">
        <v>0</v>
      </c>
      <c r="AD538" s="924">
        <v>8</v>
      </c>
      <c r="AE538" s="265">
        <f t="shared" si="1082"/>
        <v>74</v>
      </c>
      <c r="AF538" s="1032">
        <v>74</v>
      </c>
      <c r="AG538" s="924">
        <v>0</v>
      </c>
      <c r="AH538" s="210"/>
      <c r="AI538" s="210"/>
      <c r="AJ538" s="265">
        <f t="shared" si="1083"/>
        <v>0</v>
      </c>
      <c r="AK538" s="1032">
        <v>0</v>
      </c>
      <c r="AL538" s="210"/>
      <c r="AM538" s="210"/>
      <c r="AN538" s="210"/>
      <c r="AO538" s="265">
        <f t="shared" si="1084"/>
        <v>0</v>
      </c>
      <c r="AP538" s="994"/>
      <c r="AQ538" s="210"/>
      <c r="AR538" s="210"/>
      <c r="AS538" s="924">
        <v>7</v>
      </c>
      <c r="AT538" s="265">
        <f t="shared" si="1085"/>
        <v>31</v>
      </c>
      <c r="AU538" s="1032">
        <v>31</v>
      </c>
      <c r="AV538" s="210"/>
      <c r="AW538" s="210"/>
      <c r="AX538" s="924">
        <v>10</v>
      </c>
      <c r="AY538" s="265">
        <f t="shared" si="1086"/>
        <v>10</v>
      </c>
      <c r="AZ538" s="1032">
        <v>10</v>
      </c>
      <c r="BA538" s="210"/>
      <c r="BB538" s="210"/>
      <c r="BC538" s="924">
        <v>0</v>
      </c>
      <c r="BD538" s="265">
        <f t="shared" si="1087"/>
        <v>0</v>
      </c>
      <c r="BE538" s="1032">
        <v>0</v>
      </c>
      <c r="BF538" s="210"/>
      <c r="BG538" s="210"/>
      <c r="BH538" s="925">
        <v>64</v>
      </c>
      <c r="BI538" s="210"/>
      <c r="BJ538" s="994"/>
      <c r="BK538" s="210"/>
      <c r="BL538" s="210"/>
      <c r="BM538" s="210"/>
      <c r="BN538" s="210"/>
      <c r="BO538" s="994"/>
      <c r="BP538" s="994"/>
      <c r="BQ538" s="994"/>
      <c r="BR538" s="994"/>
      <c r="BS538" s="833"/>
    </row>
    <row r="539" spans="1:71" s="24" customFormat="1" ht="15" hidden="1" outlineLevel="1">
      <c r="A539" s="263" t="s">
        <v>207</v>
      </c>
      <c r="B539" s="462"/>
      <c r="C539" s="1032">
        <v>511</v>
      </c>
      <c r="D539" s="1032">
        <v>717</v>
      </c>
      <c r="E539" s="1032">
        <v>594</v>
      </c>
      <c r="F539" s="1032">
        <v>835</v>
      </c>
      <c r="G539" s="1032">
        <v>762</v>
      </c>
      <c r="H539" s="924">
        <v>167</v>
      </c>
      <c r="I539" s="924">
        <v>338</v>
      </c>
      <c r="J539" s="924">
        <v>612</v>
      </c>
      <c r="K539" s="265">
        <f t="shared" si="1078"/>
        <v>855</v>
      </c>
      <c r="L539" s="1032">
        <v>855</v>
      </c>
      <c r="M539" s="924">
        <v>146</v>
      </c>
      <c r="N539" s="924">
        <v>354</v>
      </c>
      <c r="O539" s="924">
        <v>505</v>
      </c>
      <c r="P539" s="265">
        <f t="shared" si="1079"/>
        <v>713</v>
      </c>
      <c r="Q539" s="1032">
        <v>713</v>
      </c>
      <c r="R539" s="924">
        <v>186</v>
      </c>
      <c r="S539" s="924">
        <v>343</v>
      </c>
      <c r="T539" s="924">
        <v>569</v>
      </c>
      <c r="U539" s="265">
        <f t="shared" si="1080"/>
        <v>839</v>
      </c>
      <c r="V539" s="1032">
        <v>839</v>
      </c>
      <c r="W539" s="924">
        <v>195</v>
      </c>
      <c r="X539" s="924">
        <v>403</v>
      </c>
      <c r="Y539" s="924">
        <v>603</v>
      </c>
      <c r="Z539" s="265">
        <f t="shared" si="1081"/>
        <v>857</v>
      </c>
      <c r="AA539" s="1032">
        <v>857</v>
      </c>
      <c r="AB539" s="924">
        <v>114</v>
      </c>
      <c r="AC539" s="924">
        <v>189</v>
      </c>
      <c r="AD539" s="924">
        <v>270</v>
      </c>
      <c r="AE539" s="265">
        <f t="shared" si="1082"/>
        <v>511</v>
      </c>
      <c r="AF539" s="1032">
        <v>511</v>
      </c>
      <c r="AG539" s="924">
        <v>105</v>
      </c>
      <c r="AH539" s="924">
        <v>240</v>
      </c>
      <c r="AI539" s="924">
        <v>346</v>
      </c>
      <c r="AJ539" s="265">
        <f t="shared" si="1083"/>
        <v>459</v>
      </c>
      <c r="AK539" s="1032">
        <v>459</v>
      </c>
      <c r="AL539" s="924">
        <v>64</v>
      </c>
      <c r="AM539" s="924">
        <v>139</v>
      </c>
      <c r="AN539" s="924">
        <v>184</v>
      </c>
      <c r="AO539" s="265">
        <f t="shared" si="1084"/>
        <v>281</v>
      </c>
      <c r="AP539" s="1032">
        <v>281</v>
      </c>
      <c r="AQ539" s="924">
        <v>79</v>
      </c>
      <c r="AR539" s="924">
        <v>195</v>
      </c>
      <c r="AS539" s="924">
        <v>275</v>
      </c>
      <c r="AT539" s="265">
        <f t="shared" si="1085"/>
        <v>427</v>
      </c>
      <c r="AU539" s="1032">
        <v>427</v>
      </c>
      <c r="AV539" s="924">
        <v>81</v>
      </c>
      <c r="AW539" s="924">
        <v>173</v>
      </c>
      <c r="AX539" s="924">
        <v>242</v>
      </c>
      <c r="AY539" s="265">
        <f t="shared" si="1086"/>
        <v>302</v>
      </c>
      <c r="AZ539" s="1032">
        <v>302</v>
      </c>
      <c r="BA539" s="924">
        <v>64</v>
      </c>
      <c r="BB539" s="924">
        <v>100</v>
      </c>
      <c r="BC539" s="924">
        <v>166</v>
      </c>
      <c r="BD539" s="265">
        <f t="shared" si="1087"/>
        <v>255</v>
      </c>
      <c r="BE539" s="1032">
        <v>255</v>
      </c>
      <c r="BF539" s="924">
        <v>55</v>
      </c>
      <c r="BG539" s="924">
        <v>110</v>
      </c>
      <c r="BH539" s="925">
        <v>211</v>
      </c>
      <c r="BI539" s="210"/>
      <c r="BJ539" s="994"/>
      <c r="BK539" s="210"/>
      <c r="BL539" s="210"/>
      <c r="BM539" s="210"/>
      <c r="BN539" s="210"/>
      <c r="BO539" s="994"/>
      <c r="BP539" s="994"/>
      <c r="BQ539" s="994"/>
      <c r="BR539" s="994"/>
      <c r="BS539" s="833"/>
    </row>
    <row r="540" spans="1:71" s="24" customFormat="1" ht="15" hidden="1" outlineLevel="1">
      <c r="A540" s="263" t="s">
        <v>208</v>
      </c>
      <c r="B540" s="462"/>
      <c r="C540" s="1032">
        <v>-9647</v>
      </c>
      <c r="D540" s="1032">
        <v>-6785</v>
      </c>
      <c r="E540" s="1032">
        <v>-8704</v>
      </c>
      <c r="F540" s="1032">
        <v>-10447</v>
      </c>
      <c r="G540" s="1032">
        <v>-9467</v>
      </c>
      <c r="H540" s="924">
        <v>-2715</v>
      </c>
      <c r="I540" s="924">
        <v>-5449</v>
      </c>
      <c r="J540" s="924">
        <v>-8237</v>
      </c>
      <c r="K540" s="265">
        <f t="shared" si="1078"/>
        <v>-11325</v>
      </c>
      <c r="L540" s="1032">
        <v>-11325</v>
      </c>
      <c r="M540" s="924">
        <v>-3325</v>
      </c>
      <c r="N540" s="924">
        <v>-6239</v>
      </c>
      <c r="O540" s="924">
        <v>-9972</v>
      </c>
      <c r="P540" s="265">
        <f t="shared" si="1079"/>
        <v>-12090</v>
      </c>
      <c r="Q540" s="1032">
        <v>-12090</v>
      </c>
      <c r="R540" s="924">
        <v>-2700</v>
      </c>
      <c r="S540" s="924">
        <v>-5705</v>
      </c>
      <c r="T540" s="924">
        <v>-9004</v>
      </c>
      <c r="U540" s="265">
        <f t="shared" si="1080"/>
        <v>-11609</v>
      </c>
      <c r="V540" s="1032">
        <v>-11609</v>
      </c>
      <c r="W540" s="924">
        <v>-3056</v>
      </c>
      <c r="X540" s="924">
        <v>-5673</v>
      </c>
      <c r="Y540" s="924">
        <v>-8403</v>
      </c>
      <c r="Z540" s="265">
        <f t="shared" si="1081"/>
        <v>-12250</v>
      </c>
      <c r="AA540" s="1032">
        <v>-12250</v>
      </c>
      <c r="AB540" s="924">
        <v>-3920</v>
      </c>
      <c r="AC540" s="924">
        <v>-7952</v>
      </c>
      <c r="AD540" s="924">
        <v>-10862</v>
      </c>
      <c r="AE540" s="265">
        <f t="shared" si="1082"/>
        <v>-13526</v>
      </c>
      <c r="AF540" s="1032">
        <v>-13526</v>
      </c>
      <c r="AG540" s="924">
        <v>-2914</v>
      </c>
      <c r="AH540" s="924">
        <v>-5708</v>
      </c>
      <c r="AI540" s="924">
        <v>-8234</v>
      </c>
      <c r="AJ540" s="265">
        <f t="shared" si="1083"/>
        <v>-10711</v>
      </c>
      <c r="AK540" s="1032">
        <v>-10711</v>
      </c>
      <c r="AL540" s="924">
        <v>-2630</v>
      </c>
      <c r="AM540" s="924">
        <v>-4790</v>
      </c>
      <c r="AN540" s="924">
        <v>-9951</v>
      </c>
      <c r="AO540" s="265">
        <f t="shared" si="1084"/>
        <v>-14073</v>
      </c>
      <c r="AP540" s="1032">
        <v>-14073</v>
      </c>
      <c r="AQ540" s="924">
        <v>-4754</v>
      </c>
      <c r="AR540" s="924">
        <v>-9462</v>
      </c>
      <c r="AS540" s="924">
        <v>-14356</v>
      </c>
      <c r="AT540" s="265">
        <f t="shared" si="1085"/>
        <v>-18153</v>
      </c>
      <c r="AU540" s="1032">
        <v>-18153</v>
      </c>
      <c r="AV540" s="924">
        <v>-4409</v>
      </c>
      <c r="AW540" s="924">
        <v>-7998</v>
      </c>
      <c r="AX540" s="924">
        <v>-12100</v>
      </c>
      <c r="AY540" s="265">
        <f t="shared" si="1086"/>
        <v>-15908</v>
      </c>
      <c r="AZ540" s="1032">
        <v>-15908</v>
      </c>
      <c r="BA540" s="924">
        <v>-4335</v>
      </c>
      <c r="BB540" s="924">
        <v>-7663</v>
      </c>
      <c r="BC540" s="924">
        <v>-13054</v>
      </c>
      <c r="BD540" s="265">
        <f t="shared" si="1087"/>
        <v>-15690</v>
      </c>
      <c r="BE540" s="1032">
        <v>-15690</v>
      </c>
      <c r="BF540" s="924">
        <v>-3738</v>
      </c>
      <c r="BG540" s="924">
        <v>-8087</v>
      </c>
      <c r="BH540" s="925">
        <v>-12360</v>
      </c>
      <c r="BI540" s="210"/>
      <c r="BJ540" s="994"/>
      <c r="BK540" s="210"/>
      <c r="BL540" s="210"/>
      <c r="BM540" s="210"/>
      <c r="BN540" s="210"/>
      <c r="BO540" s="994"/>
      <c r="BP540" s="994"/>
      <c r="BQ540" s="994"/>
      <c r="BR540" s="994"/>
      <c r="BS540" s="833"/>
    </row>
    <row r="541" spans="1:71" s="24" customFormat="1" ht="15" hidden="1" outlineLevel="1">
      <c r="A541" s="263" t="s">
        <v>209</v>
      </c>
      <c r="B541" s="462"/>
      <c r="C541" s="1032">
        <v>-24</v>
      </c>
      <c r="D541" s="1032">
        <v>-61</v>
      </c>
      <c r="E541" s="1032">
        <v>-131</v>
      </c>
      <c r="F541" s="1032">
        <v>-48</v>
      </c>
      <c r="G541" s="1032">
        <v>-57</v>
      </c>
      <c r="H541" s="924">
        <v>-18</v>
      </c>
      <c r="I541" s="924">
        <v>-40</v>
      </c>
      <c r="J541" s="924">
        <v>-47</v>
      </c>
      <c r="K541" s="265">
        <f t="shared" si="1078"/>
        <v>-52</v>
      </c>
      <c r="L541" s="1032">
        <v>-52</v>
      </c>
      <c r="M541" s="924">
        <v>-8</v>
      </c>
      <c r="N541" s="924">
        <v>-22</v>
      </c>
      <c r="O541" s="924">
        <v>-31</v>
      </c>
      <c r="P541" s="265">
        <f t="shared" si="1079"/>
        <v>-49</v>
      </c>
      <c r="Q541" s="1032">
        <v>-49</v>
      </c>
      <c r="R541" s="924">
        <v>-12</v>
      </c>
      <c r="S541" s="924">
        <v>-26</v>
      </c>
      <c r="T541" s="924">
        <v>-36</v>
      </c>
      <c r="U541" s="265">
        <f t="shared" si="1080"/>
        <v>-51</v>
      </c>
      <c r="V541" s="1032">
        <v>-51</v>
      </c>
      <c r="W541" s="924">
        <v>-22</v>
      </c>
      <c r="X541" s="924">
        <v>-166</v>
      </c>
      <c r="Y541" s="924">
        <v>-193</v>
      </c>
      <c r="Z541" s="265">
        <f t="shared" si="1081"/>
        <v>-459</v>
      </c>
      <c r="AA541" s="1032">
        <v>-459</v>
      </c>
      <c r="AB541" s="924">
        <v>-20</v>
      </c>
      <c r="AC541" s="924">
        <v>-60</v>
      </c>
      <c r="AD541" s="924">
        <v>-86</v>
      </c>
      <c r="AE541" s="265">
        <f t="shared" si="1082"/>
        <v>-117</v>
      </c>
      <c r="AF541" s="1032">
        <v>-117</v>
      </c>
      <c r="AG541" s="924">
        <v>-22</v>
      </c>
      <c r="AH541" s="924">
        <v>-41</v>
      </c>
      <c r="AI541" s="924">
        <v>-62</v>
      </c>
      <c r="AJ541" s="265">
        <f t="shared" si="1083"/>
        <v>-94</v>
      </c>
      <c r="AK541" s="1032">
        <v>-94</v>
      </c>
      <c r="AL541" s="924">
        <v>-35</v>
      </c>
      <c r="AM541" s="924">
        <v>-59</v>
      </c>
      <c r="AN541" s="924">
        <v>-80</v>
      </c>
      <c r="AO541" s="265">
        <f t="shared" si="1084"/>
        <v>-112</v>
      </c>
      <c r="AP541" s="1032">
        <v>-112</v>
      </c>
      <c r="AQ541" s="924">
        <v>-19</v>
      </c>
      <c r="AR541" s="924">
        <v>-41</v>
      </c>
      <c r="AS541" s="924">
        <v>-68</v>
      </c>
      <c r="AT541" s="265">
        <f t="shared" si="1085"/>
        <v>-407</v>
      </c>
      <c r="AU541" s="1032">
        <v>-407</v>
      </c>
      <c r="AV541" s="924">
        <v>-63</v>
      </c>
      <c r="AW541" s="924">
        <v>-86</v>
      </c>
      <c r="AX541" s="924">
        <v>-112</v>
      </c>
      <c r="AY541" s="265">
        <f t="shared" si="1086"/>
        <v>-136</v>
      </c>
      <c r="AZ541" s="1032">
        <v>-136</v>
      </c>
      <c r="BA541" s="924">
        <v>-34</v>
      </c>
      <c r="BB541" s="924">
        <v>-50</v>
      </c>
      <c r="BC541" s="924">
        <v>-80</v>
      </c>
      <c r="BD541" s="265">
        <f t="shared" si="1087"/>
        <v>-105</v>
      </c>
      <c r="BE541" s="1032">
        <v>-105</v>
      </c>
      <c r="BF541" s="924">
        <v>-26</v>
      </c>
      <c r="BG541" s="924">
        <v>-47</v>
      </c>
      <c r="BH541" s="925">
        <v>-80</v>
      </c>
      <c r="BI541" s="210"/>
      <c r="BJ541" s="994"/>
      <c r="BK541" s="210"/>
      <c r="BL541" s="210"/>
      <c r="BM541" s="210"/>
      <c r="BN541" s="210"/>
      <c r="BO541" s="994"/>
      <c r="BP541" s="994"/>
      <c r="BQ541" s="994"/>
      <c r="BR541" s="994"/>
      <c r="BS541" s="833"/>
    </row>
    <row r="542" spans="1:71" s="24" customFormat="1" ht="15" hidden="1" outlineLevel="1">
      <c r="A542" s="263" t="s">
        <v>210</v>
      </c>
      <c r="B542" s="462"/>
      <c r="C542" s="1032">
        <v>-15</v>
      </c>
      <c r="D542" s="1032">
        <v>-21</v>
      </c>
      <c r="E542" s="1032">
        <v>-66</v>
      </c>
      <c r="F542" s="1032">
        <v>-95</v>
      </c>
      <c r="G542" s="1032">
        <v>-107</v>
      </c>
      <c r="H542" s="924">
        <v>-9</v>
      </c>
      <c r="I542" s="924">
        <v>-36</v>
      </c>
      <c r="J542" s="924">
        <v>-41</v>
      </c>
      <c r="K542" s="265">
        <f t="shared" si="1078"/>
        <v>-48</v>
      </c>
      <c r="L542" s="1032">
        <v>-48</v>
      </c>
      <c r="M542" s="924">
        <v>-6</v>
      </c>
      <c r="N542" s="924">
        <v>-69</v>
      </c>
      <c r="O542" s="924">
        <v>-116</v>
      </c>
      <c r="P542" s="265">
        <f t="shared" si="1079"/>
        <v>-123</v>
      </c>
      <c r="Q542" s="1032">
        <v>-123</v>
      </c>
      <c r="R542" s="924">
        <v>-7</v>
      </c>
      <c r="S542" s="924">
        <v>-20</v>
      </c>
      <c r="T542" s="924">
        <v>-30</v>
      </c>
      <c r="U542" s="265">
        <f t="shared" si="1080"/>
        <v>-48</v>
      </c>
      <c r="V542" s="1032">
        <v>-48</v>
      </c>
      <c r="W542" s="924">
        <v>-16</v>
      </c>
      <c r="X542" s="924">
        <v>-26</v>
      </c>
      <c r="Y542" s="924">
        <v>-40</v>
      </c>
      <c r="Z542" s="265">
        <f t="shared" si="1081"/>
        <v>-59</v>
      </c>
      <c r="AA542" s="1032">
        <v>-59</v>
      </c>
      <c r="AB542" s="924">
        <v>-33</v>
      </c>
      <c r="AC542" s="924">
        <v>-44</v>
      </c>
      <c r="AD542" s="924">
        <v>-57</v>
      </c>
      <c r="AE542" s="265">
        <f t="shared" si="1082"/>
        <v>-74</v>
      </c>
      <c r="AF542" s="1032">
        <v>-74</v>
      </c>
      <c r="AG542" s="924">
        <v>-77</v>
      </c>
      <c r="AH542" s="924">
        <v>-85</v>
      </c>
      <c r="AI542" s="924">
        <v>-95</v>
      </c>
      <c r="AJ542" s="265">
        <f t="shared" si="1083"/>
        <v>-107</v>
      </c>
      <c r="AK542" s="1032">
        <v>-107</v>
      </c>
      <c r="AL542" s="924">
        <v>-16</v>
      </c>
      <c r="AM542" s="924">
        <v>-24</v>
      </c>
      <c r="AN542" s="924">
        <v>-33</v>
      </c>
      <c r="AO542" s="265">
        <f t="shared" si="1084"/>
        <v>-113</v>
      </c>
      <c r="AP542" s="1032">
        <v>-113</v>
      </c>
      <c r="AQ542" s="924">
        <v>-5</v>
      </c>
      <c r="AR542" s="924">
        <v>-14</v>
      </c>
      <c r="AS542" s="924">
        <v>-22</v>
      </c>
      <c r="AT542" s="265">
        <f t="shared" si="1085"/>
        <v>-28</v>
      </c>
      <c r="AU542" s="1032">
        <v>-28</v>
      </c>
      <c r="AV542" s="924">
        <v>-9</v>
      </c>
      <c r="AW542" s="924">
        <v>-16</v>
      </c>
      <c r="AX542" s="924">
        <v>-28</v>
      </c>
      <c r="AY542" s="265">
        <f t="shared" si="1086"/>
        <v>-41</v>
      </c>
      <c r="AZ542" s="1032">
        <v>-41</v>
      </c>
      <c r="BA542" s="924">
        <v>-14</v>
      </c>
      <c r="BB542" s="924">
        <v>-26</v>
      </c>
      <c r="BC542" s="924">
        <v>-46</v>
      </c>
      <c r="BD542" s="265">
        <f t="shared" si="1087"/>
        <v>-67</v>
      </c>
      <c r="BE542" s="1032">
        <v>-67</v>
      </c>
      <c r="BF542" s="924">
        <v>-13</v>
      </c>
      <c r="BG542" s="924">
        <v>-24</v>
      </c>
      <c r="BH542" s="925">
        <v>-34</v>
      </c>
      <c r="BI542" s="210"/>
      <c r="BJ542" s="994"/>
      <c r="BK542" s="210"/>
      <c r="BL542" s="210"/>
      <c r="BM542" s="210"/>
      <c r="BN542" s="210"/>
      <c r="BO542" s="994"/>
      <c r="BP542" s="994"/>
      <c r="BQ542" s="994"/>
      <c r="BR542" s="994"/>
      <c r="BS542" s="833"/>
    </row>
    <row r="543" spans="1:71" s="24" customFormat="1" ht="15" hidden="1" outlineLevel="1">
      <c r="A543" s="263" t="s">
        <v>211</v>
      </c>
      <c r="B543" s="462"/>
      <c r="C543" s="1032">
        <v>-349</v>
      </c>
      <c r="D543" s="1032">
        <v>-514</v>
      </c>
      <c r="E543" s="1032">
        <v>-889</v>
      </c>
      <c r="F543" s="1032">
        <v>-534</v>
      </c>
      <c r="G543" s="1032">
        <v>-446</v>
      </c>
      <c r="H543" s="924">
        <v>-113</v>
      </c>
      <c r="I543" s="924">
        <v>-226</v>
      </c>
      <c r="J543" s="924">
        <v>-406</v>
      </c>
      <c r="K543" s="265">
        <f t="shared" si="1078"/>
        <v>-554</v>
      </c>
      <c r="L543" s="1032">
        <v>-554</v>
      </c>
      <c r="M543" s="924">
        <v>-168</v>
      </c>
      <c r="N543" s="924">
        <v>-275</v>
      </c>
      <c r="O543" s="924">
        <v>-389</v>
      </c>
      <c r="P543" s="265">
        <f t="shared" si="1079"/>
        <v>-534</v>
      </c>
      <c r="Q543" s="1032">
        <v>-534</v>
      </c>
      <c r="R543" s="924">
        <v>-162</v>
      </c>
      <c r="S543" s="924">
        <v>-290</v>
      </c>
      <c r="T543" s="924">
        <v>-422</v>
      </c>
      <c r="U543" s="265">
        <f t="shared" si="1080"/>
        <v>-580</v>
      </c>
      <c r="V543" s="1032">
        <v>-580</v>
      </c>
      <c r="W543" s="924">
        <v>-124</v>
      </c>
      <c r="X543" s="924">
        <v>-259</v>
      </c>
      <c r="Y543" s="924">
        <v>-392</v>
      </c>
      <c r="Z543" s="265">
        <f t="shared" si="1081"/>
        <v>-541</v>
      </c>
      <c r="AA543" s="1032">
        <v>-541</v>
      </c>
      <c r="AB543" s="924">
        <v>-142</v>
      </c>
      <c r="AC543" s="924">
        <v>-275</v>
      </c>
      <c r="AD543" s="924">
        <v>-392</v>
      </c>
      <c r="AE543" s="265">
        <f t="shared" si="1082"/>
        <v>-537</v>
      </c>
      <c r="AF543" s="1032">
        <v>-537</v>
      </c>
      <c r="AG543" s="924">
        <v>-146</v>
      </c>
      <c r="AH543" s="924">
        <v>-262</v>
      </c>
      <c r="AI543" s="924">
        <v>-369</v>
      </c>
      <c r="AJ543" s="265">
        <f t="shared" si="1083"/>
        <v>-497</v>
      </c>
      <c r="AK543" s="1032">
        <v>-497</v>
      </c>
      <c r="AL543" s="924">
        <v>-103</v>
      </c>
      <c r="AM543" s="924">
        <v>-228</v>
      </c>
      <c r="AN543" s="924">
        <v>-321</v>
      </c>
      <c r="AO543" s="265">
        <f t="shared" si="1084"/>
        <v>-487</v>
      </c>
      <c r="AP543" s="1032">
        <v>-487</v>
      </c>
      <c r="AQ543" s="924">
        <v>-97</v>
      </c>
      <c r="AR543" s="924">
        <v>-221</v>
      </c>
      <c r="AS543" s="924">
        <v>-643</v>
      </c>
      <c r="AT543" s="265">
        <f t="shared" si="1085"/>
        <v>-520</v>
      </c>
      <c r="AU543" s="1032">
        <v>-520</v>
      </c>
      <c r="AV543" s="924">
        <v>-135</v>
      </c>
      <c r="AW543" s="924">
        <v>-252</v>
      </c>
      <c r="AX543" s="924">
        <v>-414</v>
      </c>
      <c r="AY543" s="265">
        <f t="shared" si="1086"/>
        <v>-574</v>
      </c>
      <c r="AZ543" s="1032">
        <v>-574</v>
      </c>
      <c r="BA543" s="924">
        <v>-139</v>
      </c>
      <c r="BB543" s="924">
        <v>-255</v>
      </c>
      <c r="BC543" s="924">
        <v>-375</v>
      </c>
      <c r="BD543" s="265">
        <f t="shared" si="1087"/>
        <v>-495</v>
      </c>
      <c r="BE543" s="1032">
        <v>-495</v>
      </c>
      <c r="BF543" s="924">
        <v>-90</v>
      </c>
      <c r="BG543" s="924">
        <v>-185</v>
      </c>
      <c r="BH543" s="925">
        <v>-283</v>
      </c>
      <c r="BI543" s="210"/>
      <c r="BJ543" s="994"/>
      <c r="BK543" s="210"/>
      <c r="BL543" s="210"/>
      <c r="BM543" s="210"/>
      <c r="BN543" s="210"/>
      <c r="BO543" s="994"/>
      <c r="BP543" s="994"/>
      <c r="BQ543" s="994"/>
      <c r="BR543" s="994"/>
      <c r="BS543" s="833"/>
    </row>
    <row r="544" spans="1:71" s="24" customFormat="1" ht="15" hidden="1" outlineLevel="1">
      <c r="A544" s="263" t="s">
        <v>212</v>
      </c>
      <c r="B544" s="462"/>
      <c r="C544" s="1032">
        <v>370</v>
      </c>
      <c r="D544" s="1032">
        <v>-699</v>
      </c>
      <c r="E544" s="1032">
        <v>2018</v>
      </c>
      <c r="F544" s="1032">
        <v>117</v>
      </c>
      <c r="G544" s="1032">
        <v>111</v>
      </c>
      <c r="H544" s="924">
        <v>-160</v>
      </c>
      <c r="I544" s="924">
        <v>60</v>
      </c>
      <c r="J544" s="924">
        <v>-1163</v>
      </c>
      <c r="K544" s="265">
        <f t="shared" si="1078"/>
        <v>-498</v>
      </c>
      <c r="L544" s="1032">
        <v>-498</v>
      </c>
      <c r="M544" s="924">
        <v>-134</v>
      </c>
      <c r="N544" s="924">
        <v>433</v>
      </c>
      <c r="O544" s="924">
        <v>-782</v>
      </c>
      <c r="P544" s="265">
        <f t="shared" si="1079"/>
        <v>-326</v>
      </c>
      <c r="Q544" s="1032">
        <v>-326</v>
      </c>
      <c r="R544" s="924">
        <v>85</v>
      </c>
      <c r="S544" s="924">
        <v>681</v>
      </c>
      <c r="T544" s="924">
        <v>-135</v>
      </c>
      <c r="U544" s="265">
        <f t="shared" si="1080"/>
        <v>-199</v>
      </c>
      <c r="V544" s="1032">
        <v>-199</v>
      </c>
      <c r="W544" s="924">
        <v>49</v>
      </c>
      <c r="X544" s="924">
        <v>-424</v>
      </c>
      <c r="Y544" s="924">
        <v>-990</v>
      </c>
      <c r="Z544" s="265">
        <f t="shared" si="1081"/>
        <v>-26</v>
      </c>
      <c r="AA544" s="1032">
        <v>-26</v>
      </c>
      <c r="AB544" s="924">
        <v>410</v>
      </c>
      <c r="AC544" s="924">
        <v>1202</v>
      </c>
      <c r="AD544" s="924">
        <v>456</v>
      </c>
      <c r="AE544" s="265">
        <f t="shared" si="1082"/>
        <v>908</v>
      </c>
      <c r="AF544" s="1032">
        <v>908</v>
      </c>
      <c r="AG544" s="924">
        <v>-109</v>
      </c>
      <c r="AH544" s="924">
        <v>497</v>
      </c>
      <c r="AI544" s="924">
        <v>-617</v>
      </c>
      <c r="AJ544" s="265">
        <f t="shared" si="1083"/>
        <v>-957</v>
      </c>
      <c r="AK544" s="1032">
        <v>-957</v>
      </c>
      <c r="AL544" s="924">
        <v>906</v>
      </c>
      <c r="AM544" s="924">
        <v>-1147</v>
      </c>
      <c r="AN544" s="924">
        <v>-1387</v>
      </c>
      <c r="AO544" s="265">
        <f t="shared" si="1084"/>
        <v>-566</v>
      </c>
      <c r="AP544" s="1032">
        <v>-566</v>
      </c>
      <c r="AQ544" s="924">
        <v>524</v>
      </c>
      <c r="AR544" s="924">
        <v>-194</v>
      </c>
      <c r="AS544" s="924">
        <v>754</v>
      </c>
      <c r="AT544" s="265">
        <f t="shared" si="1085"/>
        <v>1671</v>
      </c>
      <c r="AU544" s="1032">
        <v>1671</v>
      </c>
      <c r="AV544" s="924">
        <v>367</v>
      </c>
      <c r="AW544" s="924">
        <v>257</v>
      </c>
      <c r="AX544" s="924">
        <v>-107</v>
      </c>
      <c r="AY544" s="265">
        <f t="shared" si="1086"/>
        <v>355</v>
      </c>
      <c r="AZ544" s="1032">
        <v>355</v>
      </c>
      <c r="BA544" s="924">
        <v>228</v>
      </c>
      <c r="BB544" s="924">
        <v>-418</v>
      </c>
      <c r="BC544" s="924">
        <v>-1018</v>
      </c>
      <c r="BD544" s="265">
        <f t="shared" si="1087"/>
        <v>-1664</v>
      </c>
      <c r="BE544" s="1032">
        <v>-1664</v>
      </c>
      <c r="BF544" s="924">
        <v>454</v>
      </c>
      <c r="BG544" s="924">
        <v>784</v>
      </c>
      <c r="BH544" s="925">
        <v>-342</v>
      </c>
      <c r="BI544" s="210"/>
      <c r="BJ544" s="994"/>
      <c r="BK544" s="210"/>
      <c r="BL544" s="210"/>
      <c r="BM544" s="210"/>
      <c r="BN544" s="210"/>
      <c r="BO544" s="994"/>
      <c r="BP544" s="994"/>
      <c r="BQ544" s="994"/>
      <c r="BR544" s="994"/>
      <c r="BS544" s="833"/>
    </row>
    <row r="545" spans="1:71" s="24" customFormat="1" ht="15" hidden="1" outlineLevel="1">
      <c r="A545" s="263" t="s">
        <v>213</v>
      </c>
      <c r="B545" s="462"/>
      <c r="C545" s="1032">
        <v>395</v>
      </c>
      <c r="D545" s="1032">
        <v>-30</v>
      </c>
      <c r="E545" s="1032">
        <v>0</v>
      </c>
      <c r="F545" s="1032">
        <v>-23</v>
      </c>
      <c r="G545" s="1032">
        <v>21</v>
      </c>
      <c r="H545" s="924">
        <v>240</v>
      </c>
      <c r="I545" s="924">
        <v>204</v>
      </c>
      <c r="J545" s="924">
        <v>119</v>
      </c>
      <c r="K545" s="265">
        <f t="shared" si="1078"/>
        <v>82</v>
      </c>
      <c r="L545" s="1032">
        <v>82</v>
      </c>
      <c r="M545" s="924">
        <v>305</v>
      </c>
      <c r="N545" s="924">
        <v>183</v>
      </c>
      <c r="O545" s="924">
        <v>103</v>
      </c>
      <c r="P545" s="265">
        <f t="shared" si="1079"/>
        <v>-113</v>
      </c>
      <c r="Q545" s="1032">
        <v>-113</v>
      </c>
      <c r="R545" s="924">
        <v>291</v>
      </c>
      <c r="S545" s="924">
        <v>461</v>
      </c>
      <c r="T545" s="924">
        <v>511</v>
      </c>
      <c r="U545" s="265">
        <f t="shared" si="1080"/>
        <v>-21</v>
      </c>
      <c r="V545" s="1032">
        <v>-21</v>
      </c>
      <c r="W545" s="924">
        <v>157</v>
      </c>
      <c r="X545" s="924">
        <v>170</v>
      </c>
      <c r="Y545" s="924">
        <v>122</v>
      </c>
      <c r="Z545" s="265">
        <f t="shared" si="1081"/>
        <v>-47</v>
      </c>
      <c r="AA545" s="1032">
        <v>-47</v>
      </c>
      <c r="AB545" s="924">
        <v>202</v>
      </c>
      <c r="AC545" s="924">
        <v>279</v>
      </c>
      <c r="AD545" s="924">
        <v>173</v>
      </c>
      <c r="AE545" s="265">
        <f t="shared" si="1082"/>
        <v>-56</v>
      </c>
      <c r="AF545" s="1032">
        <v>-56</v>
      </c>
      <c r="AG545" s="924">
        <v>295</v>
      </c>
      <c r="AH545" s="924">
        <v>223</v>
      </c>
      <c r="AI545" s="924">
        <v>432</v>
      </c>
      <c r="AJ545" s="265">
        <f t="shared" si="1083"/>
        <v>158</v>
      </c>
      <c r="AK545" s="1032">
        <v>158</v>
      </c>
      <c r="AL545" s="924">
        <v>85</v>
      </c>
      <c r="AM545" s="924">
        <v>94</v>
      </c>
      <c r="AN545" s="924">
        <v>522</v>
      </c>
      <c r="AO545" s="265">
        <f t="shared" si="1084"/>
        <v>-47</v>
      </c>
      <c r="AP545" s="1032">
        <v>-47</v>
      </c>
      <c r="AQ545" s="924">
        <v>269</v>
      </c>
      <c r="AR545" s="924">
        <v>229</v>
      </c>
      <c r="AS545" s="924">
        <v>407</v>
      </c>
      <c r="AT545" s="265">
        <f t="shared" si="1085"/>
        <v>-19</v>
      </c>
      <c r="AU545" s="1032">
        <v>-19</v>
      </c>
      <c r="AV545" s="924">
        <v>613</v>
      </c>
      <c r="AW545" s="924">
        <v>236</v>
      </c>
      <c r="AX545" s="924">
        <v>214</v>
      </c>
      <c r="AY545" s="265">
        <f t="shared" si="1086"/>
        <v>21</v>
      </c>
      <c r="AZ545" s="1032">
        <v>21</v>
      </c>
      <c r="BA545" s="924">
        <v>-35</v>
      </c>
      <c r="BB545" s="924">
        <v>15</v>
      </c>
      <c r="BC545" s="924">
        <v>60</v>
      </c>
      <c r="BD545" s="265">
        <f t="shared" si="1087"/>
        <v>-83</v>
      </c>
      <c r="BE545" s="1032">
        <v>-83</v>
      </c>
      <c r="BF545" s="924">
        <v>111</v>
      </c>
      <c r="BG545" s="924">
        <v>358</v>
      </c>
      <c r="BH545" s="925">
        <v>382</v>
      </c>
      <c r="BI545" s="210"/>
      <c r="BJ545" s="994"/>
      <c r="BK545" s="210"/>
      <c r="BL545" s="210"/>
      <c r="BM545" s="210"/>
      <c r="BN545" s="210"/>
      <c r="BO545" s="994"/>
      <c r="BP545" s="994"/>
      <c r="BQ545" s="994"/>
      <c r="BR545" s="994"/>
      <c r="BS545" s="833"/>
    </row>
    <row r="546" spans="1:71" s="24" customFormat="1" ht="15" hidden="1" outlineLevel="1">
      <c r="A546" s="263" t="s">
        <v>214</v>
      </c>
      <c r="B546" s="462"/>
      <c r="C546" s="994"/>
      <c r="D546" s="994"/>
      <c r="E546" s="1032">
        <v>0</v>
      </c>
      <c r="F546" s="1032">
        <v>0</v>
      </c>
      <c r="G546" s="1032">
        <v>-997</v>
      </c>
      <c r="H546" s="924">
        <v>-12</v>
      </c>
      <c r="I546" s="924">
        <v>-12</v>
      </c>
      <c r="J546" s="924">
        <v>-12</v>
      </c>
      <c r="K546" s="265">
        <f t="shared" si="1078"/>
        <v>-12</v>
      </c>
      <c r="L546" s="1032">
        <v>-12</v>
      </c>
      <c r="M546" s="210"/>
      <c r="N546" s="210"/>
      <c r="O546" s="210"/>
      <c r="P546" s="265">
        <f t="shared" si="1079"/>
        <v>-13</v>
      </c>
      <c r="Q546" s="1032">
        <v>-13</v>
      </c>
      <c r="R546" s="210"/>
      <c r="S546" s="210"/>
      <c r="T546" s="924">
        <v>0</v>
      </c>
      <c r="U546" s="265">
        <f t="shared" si="1080"/>
        <v>0</v>
      </c>
      <c r="V546" s="1032">
        <v>0</v>
      </c>
      <c r="W546" s="210"/>
      <c r="X546" s="210"/>
      <c r="Y546" s="924">
        <v>-439</v>
      </c>
      <c r="Z546" s="265">
        <f t="shared" si="1081"/>
        <v>-439</v>
      </c>
      <c r="AA546" s="1032">
        <v>-439</v>
      </c>
      <c r="AB546" s="210"/>
      <c r="AC546" s="210"/>
      <c r="AD546" s="924">
        <v>-4</v>
      </c>
      <c r="AE546" s="265">
        <f t="shared" si="1082"/>
        <v>-4</v>
      </c>
      <c r="AF546" s="1032">
        <v>-4</v>
      </c>
      <c r="AG546" s="210"/>
      <c r="AH546" s="210"/>
      <c r="AI546" s="210"/>
      <c r="AJ546" s="265">
        <f t="shared" si="1083"/>
        <v>0</v>
      </c>
      <c r="AK546" s="1032">
        <v>0</v>
      </c>
      <c r="AL546" s="210"/>
      <c r="AM546" s="210"/>
      <c r="AN546" s="210"/>
      <c r="AO546" s="265">
        <f t="shared" si="1084"/>
        <v>0</v>
      </c>
      <c r="AP546" s="994"/>
      <c r="AQ546" s="924">
        <v>-38</v>
      </c>
      <c r="AR546" s="924">
        <v>-38</v>
      </c>
      <c r="AS546" s="924">
        <v>-38</v>
      </c>
      <c r="AT546" s="265">
        <f t="shared" si="1085"/>
        <v>-38</v>
      </c>
      <c r="AU546" s="1032">
        <v>-38</v>
      </c>
      <c r="AV546" s="924">
        <v>-4</v>
      </c>
      <c r="AW546" s="924">
        <v>-4</v>
      </c>
      <c r="AX546" s="924">
        <v>-4</v>
      </c>
      <c r="AY546" s="265">
        <f t="shared" si="1086"/>
        <v>-4</v>
      </c>
      <c r="AZ546" s="1032">
        <v>-4</v>
      </c>
      <c r="BA546" s="924">
        <v>0</v>
      </c>
      <c r="BB546" s="924">
        <v>0</v>
      </c>
      <c r="BC546" s="924">
        <v>0</v>
      </c>
      <c r="BD546" s="265">
        <f t="shared" si="1087"/>
        <v>0</v>
      </c>
      <c r="BE546" s="1032">
        <v>0</v>
      </c>
      <c r="BF546" s="924">
        <v>-381</v>
      </c>
      <c r="BG546" s="924">
        <v>-382</v>
      </c>
      <c r="BH546" s="925">
        <v>-382</v>
      </c>
      <c r="BI546" s="210"/>
      <c r="BJ546" s="994"/>
      <c r="BK546" s="210"/>
      <c r="BL546" s="210"/>
      <c r="BM546" s="210"/>
      <c r="BN546" s="210"/>
      <c r="BO546" s="994"/>
      <c r="BP546" s="994"/>
      <c r="BQ546" s="994"/>
      <c r="BR546" s="994"/>
      <c r="BS546" s="833"/>
    </row>
    <row r="547" spans="1:71" s="24" customFormat="1" ht="15" hidden="1" outlineLevel="1">
      <c r="A547" s="60" t="s">
        <v>200</v>
      </c>
      <c r="B547" s="478"/>
      <c r="C547" s="1033">
        <v>-326</v>
      </c>
      <c r="D547" s="1033">
        <v>-318</v>
      </c>
      <c r="E547" s="1033">
        <v>-371</v>
      </c>
      <c r="F547" s="1033">
        <v>-323</v>
      </c>
      <c r="G547" s="1033">
        <v>-373</v>
      </c>
      <c r="H547" s="927">
        <v>-60</v>
      </c>
      <c r="I547" s="927">
        <v>-152</v>
      </c>
      <c r="J547" s="927">
        <v>-262</v>
      </c>
      <c r="K547" s="186">
        <f t="shared" si="1078"/>
        <v>-358</v>
      </c>
      <c r="L547" s="1033">
        <v>-358</v>
      </c>
      <c r="M547" s="927">
        <v>-90</v>
      </c>
      <c r="N547" s="927">
        <v>-178</v>
      </c>
      <c r="O547" s="927">
        <v>-222</v>
      </c>
      <c r="P547" s="186">
        <f t="shared" si="1079"/>
        <v>-304</v>
      </c>
      <c r="Q547" s="1033">
        <v>-304</v>
      </c>
      <c r="R547" s="927">
        <v>-79</v>
      </c>
      <c r="S547" s="927">
        <v>-154</v>
      </c>
      <c r="T547" s="927">
        <v>-240</v>
      </c>
      <c r="U547" s="186">
        <f t="shared" si="1080"/>
        <v>-344</v>
      </c>
      <c r="V547" s="1033">
        <v>-344</v>
      </c>
      <c r="W547" s="927">
        <v>-63</v>
      </c>
      <c r="X547" s="927">
        <v>-129</v>
      </c>
      <c r="Y547" s="927">
        <v>-187</v>
      </c>
      <c r="Z547" s="186">
        <f t="shared" si="1081"/>
        <v>-244</v>
      </c>
      <c r="AA547" s="1033">
        <v>-244</v>
      </c>
      <c r="AB547" s="927">
        <v>-53</v>
      </c>
      <c r="AC547" s="927">
        <v>-152</v>
      </c>
      <c r="AD547" s="927">
        <v>-232</v>
      </c>
      <c r="AE547" s="186">
        <f t="shared" si="1082"/>
        <v>-318</v>
      </c>
      <c r="AF547" s="1033">
        <v>-318</v>
      </c>
      <c r="AG547" s="927">
        <v>-82</v>
      </c>
      <c r="AH547" s="927">
        <v>-169</v>
      </c>
      <c r="AI547" s="927">
        <v>-243</v>
      </c>
      <c r="AJ547" s="186">
        <f t="shared" si="1083"/>
        <v>-325</v>
      </c>
      <c r="AK547" s="1033">
        <v>-325</v>
      </c>
      <c r="AL547" s="927">
        <v>-69</v>
      </c>
      <c r="AM547" s="927">
        <v>-144</v>
      </c>
      <c r="AN547" s="927">
        <v>-222</v>
      </c>
      <c r="AO547" s="186">
        <f t="shared" si="1084"/>
        <v>-330</v>
      </c>
      <c r="AP547" s="1033">
        <v>-330</v>
      </c>
      <c r="AQ547" s="927">
        <v>-60</v>
      </c>
      <c r="AR547" s="927">
        <v>-113</v>
      </c>
      <c r="AS547" s="927">
        <v>-199</v>
      </c>
      <c r="AT547" s="186">
        <f t="shared" si="1085"/>
        <v>-279</v>
      </c>
      <c r="AU547" s="1033">
        <v>-279</v>
      </c>
      <c r="AV547" s="927">
        <v>-84</v>
      </c>
      <c r="AW547" s="927">
        <v>-159</v>
      </c>
      <c r="AX547" s="927">
        <v>-291</v>
      </c>
      <c r="AY547" s="186">
        <f t="shared" si="1086"/>
        <v>-385</v>
      </c>
      <c r="AZ547" s="1033">
        <v>-385</v>
      </c>
      <c r="BA547" s="927">
        <v>-120</v>
      </c>
      <c r="BB547" s="927">
        <v>-251</v>
      </c>
      <c r="BC547" s="927">
        <v>-335</v>
      </c>
      <c r="BD547" s="186">
        <f t="shared" si="1087"/>
        <v>-462</v>
      </c>
      <c r="BE547" s="1033">
        <v>-462</v>
      </c>
      <c r="BF547" s="927">
        <v>-81</v>
      </c>
      <c r="BG547" s="927">
        <v>-192</v>
      </c>
      <c r="BH547" s="928">
        <v>-305</v>
      </c>
      <c r="BI547" s="205"/>
      <c r="BJ547" s="996"/>
      <c r="BK547" s="205"/>
      <c r="BL547" s="205"/>
      <c r="BM547" s="205"/>
      <c r="BN547" s="205"/>
      <c r="BO547" s="996"/>
      <c r="BP547" s="996"/>
      <c r="BQ547" s="996"/>
      <c r="BR547" s="996"/>
      <c r="BS547" s="833"/>
    </row>
    <row r="548" spans="1:71" s="181" customFormat="1" ht="15" hidden="1" outlineLevel="1">
      <c r="A548" s="62" t="s">
        <v>215</v>
      </c>
      <c r="B548" s="479"/>
      <c r="C548" s="997">
        <f t="shared" si="1088" ref="C548:AM548">SUM(C535:C547)</f>
        <v>-899</v>
      </c>
      <c r="D548" s="997">
        <f t="shared" si="1088"/>
        <v>2109</v>
      </c>
      <c r="E548" s="997">
        <f t="shared" si="1088"/>
        <v>1152</v>
      </c>
      <c r="F548" s="997">
        <f t="shared" si="1088"/>
        <v>-972</v>
      </c>
      <c r="G548" s="997">
        <f t="shared" si="1088"/>
        <v>-910</v>
      </c>
      <c r="H548" s="193">
        <f t="shared" si="1088"/>
        <v>75</v>
      </c>
      <c r="I548" s="193">
        <f t="shared" si="1088"/>
        <v>487</v>
      </c>
      <c r="J548" s="193">
        <f t="shared" si="1088"/>
        <v>-402</v>
      </c>
      <c r="K548" s="193">
        <f t="shared" si="1088"/>
        <v>206</v>
      </c>
      <c r="L548" s="997">
        <f t="shared" si="1088"/>
        <v>206</v>
      </c>
      <c r="M548" s="193">
        <f t="shared" si="1088"/>
        <v>474</v>
      </c>
      <c r="N548" s="193">
        <f t="shared" si="1088"/>
        <v>765</v>
      </c>
      <c r="O548" s="193">
        <f t="shared" si="1088"/>
        <v>-491</v>
      </c>
      <c r="P548" s="193">
        <f t="shared" si="1088"/>
        <v>317</v>
      </c>
      <c r="Q548" s="997">
        <f t="shared" si="1088"/>
        <v>317</v>
      </c>
      <c r="R548" s="193">
        <f t="shared" si="1088"/>
        <v>-146</v>
      </c>
      <c r="S548" s="193">
        <f t="shared" si="1088"/>
        <v>-91</v>
      </c>
      <c r="T548" s="193">
        <f t="shared" si="1088"/>
        <v>-1134</v>
      </c>
      <c r="U548" s="193">
        <f t="shared" si="1088"/>
        <v>-1460</v>
      </c>
      <c r="V548" s="997">
        <f t="shared" si="1088"/>
        <v>-1460</v>
      </c>
      <c r="W548" s="193">
        <f t="shared" si="1088"/>
        <v>-442</v>
      </c>
      <c r="X548" s="193">
        <f t="shared" si="1088"/>
        <v>-1021</v>
      </c>
      <c r="Y548" s="193">
        <f t="shared" si="1088"/>
        <v>-2115</v>
      </c>
      <c r="Z548" s="193">
        <f t="shared" si="1088"/>
        <v>-1816</v>
      </c>
      <c r="AA548" s="997">
        <f t="shared" si="1088"/>
        <v>-1816</v>
      </c>
      <c r="AB548" s="193">
        <f t="shared" si="1088"/>
        <v>-381</v>
      </c>
      <c r="AC548" s="193">
        <f t="shared" si="1088"/>
        <v>-457</v>
      </c>
      <c r="AD548" s="193">
        <f t="shared" si="1088"/>
        <v>-1759</v>
      </c>
      <c r="AE548" s="193">
        <f t="shared" si="1088"/>
        <v>-2329</v>
      </c>
      <c r="AF548" s="997">
        <f t="shared" si="1088"/>
        <v>-2329</v>
      </c>
      <c r="AG548" s="193">
        <f t="shared" si="1088"/>
        <v>-586</v>
      </c>
      <c r="AH548" s="193">
        <f t="shared" si="1088"/>
        <v>-701</v>
      </c>
      <c r="AI548" s="193">
        <f t="shared" si="1088"/>
        <v>-2047</v>
      </c>
      <c r="AJ548" s="193">
        <f t="shared" si="1088"/>
        <v>-2902</v>
      </c>
      <c r="AK548" s="997">
        <f t="shared" si="1088"/>
        <v>-2902</v>
      </c>
      <c r="AL548" s="193">
        <f t="shared" si="1088"/>
        <v>84</v>
      </c>
      <c r="AM548" s="193">
        <f t="shared" si="1088"/>
        <v>-1814</v>
      </c>
      <c r="AN548" s="193">
        <f>SUM(AN535:AN547)</f>
        <v>-3977</v>
      </c>
      <c r="AO548" s="193">
        <f t="shared" si="1089" ref="AO548:AQ548">SUM(AO535:AO547)</f>
        <v>-4892</v>
      </c>
      <c r="AP548" s="997">
        <f t="shared" si="1089"/>
        <v>-4892</v>
      </c>
      <c r="AQ548" s="193">
        <f t="shared" si="1089"/>
        <v>-774</v>
      </c>
      <c r="AR548" s="193">
        <f t="shared" si="1090" ref="AR548:AW548">SUM(AR535:AR547)</f>
        <v>-2785</v>
      </c>
      <c r="AS548" s="193">
        <f t="shared" si="1090"/>
        <v>-4422</v>
      </c>
      <c r="AT548" s="193">
        <f t="shared" si="1090"/>
        <v>-5196</v>
      </c>
      <c r="AU548" s="997">
        <f t="shared" si="1090"/>
        <v>-5196</v>
      </c>
      <c r="AV548" s="193">
        <f t="shared" si="1090"/>
        <v>-657</v>
      </c>
      <c r="AW548" s="193">
        <f t="shared" si="1090"/>
        <v>-1367</v>
      </c>
      <c r="AX548" s="193">
        <f t="shared" si="1091" ref="AX548:BC548">SUM(AX535:AX547)</f>
        <v>-3054</v>
      </c>
      <c r="AY548" s="193">
        <f t="shared" si="1091"/>
        <v>-3728</v>
      </c>
      <c r="AZ548" s="997">
        <f t="shared" si="1091"/>
        <v>-3728</v>
      </c>
      <c r="BA548" s="193">
        <f t="shared" si="1091"/>
        <v>-455</v>
      </c>
      <c r="BB548" s="193">
        <f t="shared" si="1091"/>
        <v>-2312</v>
      </c>
      <c r="BC548" s="193">
        <f t="shared" si="1091"/>
        <v>-5037</v>
      </c>
      <c r="BD548" s="193">
        <f>SUM(BD535:BD547)</f>
        <v>-6821</v>
      </c>
      <c r="BE548" s="997">
        <f>SUM(BE535:BE547)</f>
        <v>-6821</v>
      </c>
      <c r="BF548" s="193">
        <f>SUM(BF535:BF547)</f>
        <v>-1037</v>
      </c>
      <c r="BG548" s="193">
        <f>SUM(BG535:BG547)</f>
        <v>-2180</v>
      </c>
      <c r="BH548" s="747">
        <f>SUM(BH535:BH547)</f>
        <v>-5571</v>
      </c>
      <c r="BI548" s="194"/>
      <c r="BJ548" s="998"/>
      <c r="BK548" s="194"/>
      <c r="BL548" s="194"/>
      <c r="BM548" s="194"/>
      <c r="BN548" s="194"/>
      <c r="BO548" s="998"/>
      <c r="BP548" s="998"/>
      <c r="BQ548" s="998"/>
      <c r="BR548" s="998"/>
      <c r="BS548" s="423"/>
    </row>
    <row r="549" spans="1:71" s="181" customFormat="1" ht="15" hidden="1" outlineLevel="1">
      <c r="A549" s="453"/>
      <c r="B549" s="480"/>
      <c r="C549" s="1009"/>
      <c r="D549" s="1009"/>
      <c r="E549" s="1009"/>
      <c r="F549" s="1009"/>
      <c r="G549" s="1009"/>
      <c r="H549" s="199"/>
      <c r="I549" s="199"/>
      <c r="J549" s="199"/>
      <c r="K549" s="199"/>
      <c r="L549" s="1009"/>
      <c r="M549" s="199"/>
      <c r="N549" s="199"/>
      <c r="O549" s="199"/>
      <c r="P549" s="199"/>
      <c r="Q549" s="1009"/>
      <c r="R549" s="199"/>
      <c r="S549" s="199"/>
      <c r="T549" s="199"/>
      <c r="U549" s="199"/>
      <c r="V549" s="1009"/>
      <c r="W549" s="199"/>
      <c r="X549" s="199"/>
      <c r="Y549" s="199"/>
      <c r="Z549" s="199"/>
      <c r="AA549" s="1009"/>
      <c r="AB549" s="199"/>
      <c r="AC549" s="199"/>
      <c r="AD549" s="199"/>
      <c r="AE549" s="199"/>
      <c r="AF549" s="1009"/>
      <c r="AG549" s="199"/>
      <c r="AH549" s="199"/>
      <c r="AI549" s="199"/>
      <c r="AJ549" s="199"/>
      <c r="AK549" s="1009"/>
      <c r="AL549" s="199"/>
      <c r="AM549" s="199"/>
      <c r="AN549" s="199"/>
      <c r="AO549" s="199"/>
      <c r="AP549" s="1009"/>
      <c r="AQ549" s="199"/>
      <c r="AR549" s="199"/>
      <c r="AS549" s="199"/>
      <c r="AT549" s="199"/>
      <c r="AU549" s="1009"/>
      <c r="AV549" s="199"/>
      <c r="AW549" s="199"/>
      <c r="AX549" s="199"/>
      <c r="AY549" s="199"/>
      <c r="AZ549" s="1009"/>
      <c r="BA549" s="199"/>
      <c r="BB549" s="199"/>
      <c r="BC549" s="199"/>
      <c r="BD549" s="199"/>
      <c r="BE549" s="1009"/>
      <c r="BF549" s="199"/>
      <c r="BG549" s="199"/>
      <c r="BH549" s="554"/>
      <c r="BI549" s="199"/>
      <c r="BJ549" s="1009"/>
      <c r="BK549" s="199"/>
      <c r="BL549" s="199"/>
      <c r="BM549" s="199"/>
      <c r="BN549" s="199"/>
      <c r="BO549" s="1009"/>
      <c r="BP549" s="1009"/>
      <c r="BQ549" s="1009"/>
      <c r="BR549" s="1009"/>
      <c r="BS549" s="423"/>
    </row>
    <row r="550" spans="1:71" s="181" customFormat="1" ht="15" hidden="1" outlineLevel="1">
      <c r="A550" s="183" t="s">
        <v>216</v>
      </c>
      <c r="B550" s="480"/>
      <c r="C550" s="1009"/>
      <c r="D550" s="1009"/>
      <c r="E550" s="1009"/>
      <c r="F550" s="1009"/>
      <c r="G550" s="1009"/>
      <c r="H550" s="199"/>
      <c r="I550" s="199"/>
      <c r="J550" s="199"/>
      <c r="K550" s="199"/>
      <c r="L550" s="1009"/>
      <c r="M550" s="199"/>
      <c r="N550" s="199"/>
      <c r="O550" s="199"/>
      <c r="P550" s="199"/>
      <c r="Q550" s="1009"/>
      <c r="R550" s="199"/>
      <c r="S550" s="199"/>
      <c r="T550" s="199"/>
      <c r="U550" s="199"/>
      <c r="V550" s="1009"/>
      <c r="W550" s="199"/>
      <c r="X550" s="199"/>
      <c r="Y550" s="199"/>
      <c r="Z550" s="199"/>
      <c r="AA550" s="1009"/>
      <c r="AB550" s="199"/>
      <c r="AC550" s="199"/>
      <c r="AD550" s="199"/>
      <c r="AE550" s="199"/>
      <c r="AF550" s="1009"/>
      <c r="AG550" s="199"/>
      <c r="AH550" s="199"/>
      <c r="AI550" s="199"/>
      <c r="AJ550" s="199"/>
      <c r="AK550" s="1009"/>
      <c r="AL550" s="199"/>
      <c r="AM550" s="199"/>
      <c r="AN550" s="199"/>
      <c r="AO550" s="199"/>
      <c r="AP550" s="1009"/>
      <c r="AQ550" s="199"/>
      <c r="AR550" s="199"/>
      <c r="AS550" s="199"/>
      <c r="AT550" s="199"/>
      <c r="AU550" s="1009"/>
      <c r="AV550" s="199"/>
      <c r="AW550" s="199"/>
      <c r="AX550" s="199"/>
      <c r="AY550" s="199"/>
      <c r="AZ550" s="1009"/>
      <c r="BA550" s="199"/>
      <c r="BB550" s="199"/>
      <c r="BC550" s="199"/>
      <c r="BD550" s="199"/>
      <c r="BE550" s="1009"/>
      <c r="BF550" s="199"/>
      <c r="BG550" s="199"/>
      <c r="BH550" s="554"/>
      <c r="BI550" s="199"/>
      <c r="BJ550" s="1009"/>
      <c r="BK550" s="199"/>
      <c r="BL550" s="199"/>
      <c r="BM550" s="199"/>
      <c r="BN550" s="199"/>
      <c r="BO550" s="1009"/>
      <c r="BP550" s="1009"/>
      <c r="BQ550" s="1009"/>
      <c r="BR550" s="1009"/>
      <c r="BS550" s="423"/>
    </row>
    <row r="551" spans="1:71" s="24" customFormat="1" ht="15" hidden="1" outlineLevel="1">
      <c r="A551" s="263" t="s">
        <v>217</v>
      </c>
      <c r="B551" s="462"/>
      <c r="C551" s="1032">
        <v>-3259</v>
      </c>
      <c r="D551" s="1032">
        <v>-4998</v>
      </c>
      <c r="E551" s="1032">
        <v>-2919</v>
      </c>
      <c r="F551" s="1032">
        <v>-1474</v>
      </c>
      <c r="G551" s="1032">
        <v>-2400</v>
      </c>
      <c r="H551" s="924">
        <v>-650</v>
      </c>
      <c r="I551" s="924">
        <v>-1525</v>
      </c>
      <c r="J551" s="924">
        <v>-2275</v>
      </c>
      <c r="K551" s="265">
        <f t="shared" si="1092" ref="K551:K557">L551</f>
        <v>-3275</v>
      </c>
      <c r="L551" s="1032">
        <v>-3275</v>
      </c>
      <c r="M551" s="924">
        <v>-600</v>
      </c>
      <c r="N551" s="924">
        <v>-1400</v>
      </c>
      <c r="O551" s="924">
        <v>-2150</v>
      </c>
      <c r="P551" s="265">
        <f t="shared" si="1093" ref="P551:P557">Q551</f>
        <v>-3150</v>
      </c>
      <c r="Q551" s="1032">
        <v>-3150</v>
      </c>
      <c r="R551" s="924">
        <v>-550</v>
      </c>
      <c r="S551" s="924">
        <v>-1100</v>
      </c>
      <c r="T551" s="924">
        <v>-1650</v>
      </c>
      <c r="U551" s="265">
        <f t="shared" si="1094" ref="U551:U557">V551</f>
        <v>-2400</v>
      </c>
      <c r="V551" s="1032">
        <v>-2400</v>
      </c>
      <c r="W551" s="924">
        <v>-225</v>
      </c>
      <c r="X551" s="924">
        <v>-700</v>
      </c>
      <c r="Y551" s="924">
        <v>-1028</v>
      </c>
      <c r="Z551" s="265">
        <f t="shared" si="1095" ref="Z551:Z557">AA551</f>
        <v>-1378</v>
      </c>
      <c r="AA551" s="1032">
        <v>-1378</v>
      </c>
      <c r="AB551" s="924">
        <v>-350</v>
      </c>
      <c r="AC551" s="924">
        <v>-700</v>
      </c>
      <c r="AD551" s="924">
        <v>-1100</v>
      </c>
      <c r="AE551" s="265">
        <f t="shared" si="1096" ref="AE551:AE557">AF551</f>
        <v>-1270</v>
      </c>
      <c r="AF551" s="1032">
        <v>-1270</v>
      </c>
      <c r="AG551" s="924">
        <v>-375</v>
      </c>
      <c r="AH551" s="924">
        <v>-750</v>
      </c>
      <c r="AI551" s="924">
        <v>-1125</v>
      </c>
      <c r="AJ551" s="265">
        <f t="shared" si="1097" ref="AJ551:AJ557">AK551</f>
        <v>-1500</v>
      </c>
      <c r="AK551" s="1032">
        <v>-1500</v>
      </c>
      <c r="AL551" s="924">
        <v>-425</v>
      </c>
      <c r="AM551" s="924">
        <v>-425</v>
      </c>
      <c r="AN551" s="924">
        <v>-425</v>
      </c>
      <c r="AO551" s="265">
        <f t="shared" si="1098" ref="AO551:AO557">AP551</f>
        <v>-625</v>
      </c>
      <c r="AP551" s="1032">
        <v>-625</v>
      </c>
      <c r="AQ551" s="924">
        <v>-356</v>
      </c>
      <c r="AR551" s="924">
        <v>-756</v>
      </c>
      <c r="AS551" s="924">
        <v>-1356</v>
      </c>
      <c r="AT551" s="265">
        <f t="shared" si="1099" ref="AT551:AT557">AU551</f>
        <v>-2156</v>
      </c>
      <c r="AU551" s="1032">
        <v>-2156</v>
      </c>
      <c r="AV551" s="924">
        <v>-500</v>
      </c>
      <c r="AW551" s="924">
        <v>-1000</v>
      </c>
      <c r="AX551" s="924">
        <v>-1500</v>
      </c>
      <c r="AY551" s="265">
        <f t="shared" si="1100" ref="AY551:AY557">AZ551</f>
        <v>-2000</v>
      </c>
      <c r="AZ551" s="1032">
        <v>-2000</v>
      </c>
      <c r="BA551" s="924">
        <v>-398</v>
      </c>
      <c r="BB551" s="924">
        <v>-794</v>
      </c>
      <c r="BC551" s="924">
        <v>-894</v>
      </c>
      <c r="BD551" s="265">
        <f t="shared" si="1101" ref="BD551:BD557">BE551</f>
        <v>-958</v>
      </c>
      <c r="BE551" s="1032">
        <v>-958</v>
      </c>
      <c r="BF551" s="924">
        <v>-250</v>
      </c>
      <c r="BG551" s="924">
        <v>-499</v>
      </c>
      <c r="BH551" s="925">
        <v>-747</v>
      </c>
      <c r="BI551" s="210"/>
      <c r="BJ551" s="994"/>
      <c r="BK551" s="210"/>
      <c r="BL551" s="210"/>
      <c r="BM551" s="210"/>
      <c r="BN551" s="210"/>
      <c r="BO551" s="994"/>
      <c r="BP551" s="994"/>
      <c r="BQ551" s="994"/>
      <c r="BR551" s="994"/>
      <c r="BS551" s="833"/>
    </row>
    <row r="552" spans="1:71" s="24" customFormat="1" ht="15" hidden="1" outlineLevel="1">
      <c r="A552" s="263" t="s">
        <v>218</v>
      </c>
      <c r="B552" s="462"/>
      <c r="C552" s="1032">
        <v>-29</v>
      </c>
      <c r="D552" s="1032">
        <v>-40</v>
      </c>
      <c r="E552" s="1032">
        <v>-46</v>
      </c>
      <c r="F552" s="1032">
        <v>-53</v>
      </c>
      <c r="G552" s="1032">
        <v>-61</v>
      </c>
      <c r="H552" s="924">
        <v>-54</v>
      </c>
      <c r="I552" s="924">
        <v>-55</v>
      </c>
      <c r="J552" s="924">
        <v>-56</v>
      </c>
      <c r="K552" s="265">
        <f t="shared" si="1092"/>
        <v>-57</v>
      </c>
      <c r="L552" s="1032">
        <v>-57</v>
      </c>
      <c r="M552" s="924">
        <v>-71</v>
      </c>
      <c r="N552" s="924">
        <v>-72</v>
      </c>
      <c r="O552" s="924">
        <v>-73</v>
      </c>
      <c r="P552" s="265">
        <f t="shared" si="1093"/>
        <v>-74</v>
      </c>
      <c r="Q552" s="1032">
        <v>-74</v>
      </c>
      <c r="R552" s="924">
        <v>-59</v>
      </c>
      <c r="S552" s="924">
        <v>-59</v>
      </c>
      <c r="T552" s="924">
        <v>-71</v>
      </c>
      <c r="U552" s="265">
        <f t="shared" si="1094"/>
        <v>-72</v>
      </c>
      <c r="V552" s="1032">
        <v>-72</v>
      </c>
      <c r="W552" s="924">
        <v>-61</v>
      </c>
      <c r="X552" s="924">
        <v>-61</v>
      </c>
      <c r="Y552" s="924">
        <v>-61</v>
      </c>
      <c r="Z552" s="265">
        <f t="shared" si="1095"/>
        <v>-62</v>
      </c>
      <c r="AA552" s="1032">
        <v>-62</v>
      </c>
      <c r="AB552" s="924">
        <v>-51</v>
      </c>
      <c r="AC552" s="924">
        <v>-51</v>
      </c>
      <c r="AD552" s="924">
        <v>-51</v>
      </c>
      <c r="AE552" s="265">
        <f t="shared" si="1096"/>
        <v>-51</v>
      </c>
      <c r="AF552" s="1032">
        <v>-51</v>
      </c>
      <c r="AG552" s="924">
        <v>-46</v>
      </c>
      <c r="AH552" s="924">
        <v>-47</v>
      </c>
      <c r="AI552" s="924">
        <v>-47</v>
      </c>
      <c r="AJ552" s="265">
        <f t="shared" si="1097"/>
        <v>-48</v>
      </c>
      <c r="AK552" s="1032">
        <v>-48</v>
      </c>
      <c r="AL552" s="924">
        <v>-46</v>
      </c>
      <c r="AM552" s="924">
        <v>-46</v>
      </c>
      <c r="AN552" s="924">
        <v>-46</v>
      </c>
      <c r="AO552" s="265">
        <f t="shared" si="1098"/>
        <v>-47</v>
      </c>
      <c r="AP552" s="1032">
        <v>-47</v>
      </c>
      <c r="AQ552" s="924">
        <v>-41</v>
      </c>
      <c r="AR552" s="924">
        <v>-42</v>
      </c>
      <c r="AS552" s="924">
        <v>-43</v>
      </c>
      <c r="AT552" s="265">
        <f t="shared" si="1099"/>
        <v>-44</v>
      </c>
      <c r="AU552" s="1032">
        <v>-44</v>
      </c>
      <c r="AV552" s="924">
        <v>-59</v>
      </c>
      <c r="AW552" s="924">
        <v>-59</v>
      </c>
      <c r="AX552" s="924">
        <v>-60</v>
      </c>
      <c r="AY552" s="265">
        <f t="shared" si="1100"/>
        <v>-61</v>
      </c>
      <c r="AZ552" s="1032">
        <v>-61</v>
      </c>
      <c r="BA552" s="924">
        <v>-62</v>
      </c>
      <c r="BB552" s="924">
        <v>-62</v>
      </c>
      <c r="BC552" s="924">
        <v>-63</v>
      </c>
      <c r="BD552" s="265">
        <f t="shared" si="1101"/>
        <v>-64</v>
      </c>
      <c r="BE552" s="1032">
        <v>-64</v>
      </c>
      <c r="BF552" s="924">
        <v>-110</v>
      </c>
      <c r="BG552" s="924">
        <v>-111</v>
      </c>
      <c r="BH552" s="925">
        <v>-112</v>
      </c>
      <c r="BI552" s="210"/>
      <c r="BJ552" s="994"/>
      <c r="BK552" s="210"/>
      <c r="BL552" s="210"/>
      <c r="BM552" s="210"/>
      <c r="BN552" s="210"/>
      <c r="BO552" s="994"/>
      <c r="BP552" s="994"/>
      <c r="BQ552" s="994"/>
      <c r="BR552" s="994"/>
      <c r="BS552" s="833"/>
    </row>
    <row r="553" spans="1:71" s="24" customFormat="1" ht="15" hidden="1" outlineLevel="1">
      <c r="A553" s="263" t="s">
        <v>219</v>
      </c>
      <c r="B553" s="462"/>
      <c r="C553" s="1032">
        <v>-693</v>
      </c>
      <c r="D553" s="1032">
        <v>-673</v>
      </c>
      <c r="E553" s="1032">
        <v>-665</v>
      </c>
      <c r="F553" s="1032">
        <v>-694</v>
      </c>
      <c r="G553" s="1032">
        <v>-729</v>
      </c>
      <c r="H553" s="924">
        <v>-176</v>
      </c>
      <c r="I553" s="924">
        <v>-365</v>
      </c>
      <c r="J553" s="924">
        <v>-549</v>
      </c>
      <c r="K553" s="265">
        <f t="shared" si="1092"/>
        <v>-729</v>
      </c>
      <c r="L553" s="1032">
        <v>-729</v>
      </c>
      <c r="M553" s="924">
        <v>-177</v>
      </c>
      <c r="N553" s="924">
        <v>-369</v>
      </c>
      <c r="O553" s="924">
        <v>-557</v>
      </c>
      <c r="P553" s="265">
        <f t="shared" si="1093"/>
        <v>-739</v>
      </c>
      <c r="Q553" s="1032">
        <v>-739</v>
      </c>
      <c r="R553" s="924">
        <v>-180</v>
      </c>
      <c r="S553" s="924">
        <v>-375</v>
      </c>
      <c r="T553" s="924">
        <v>-569</v>
      </c>
      <c r="U553" s="265">
        <f t="shared" si="1094"/>
        <v>-757</v>
      </c>
      <c r="V553" s="1032">
        <v>-757</v>
      </c>
      <c r="W553" s="924">
        <v>-190</v>
      </c>
      <c r="X553" s="924">
        <v>-389</v>
      </c>
      <c r="Y553" s="924">
        <v>-589</v>
      </c>
      <c r="Z553" s="265">
        <f t="shared" si="1095"/>
        <v>-785</v>
      </c>
      <c r="AA553" s="1032">
        <v>-785</v>
      </c>
      <c r="AB553" s="924">
        <v>-197</v>
      </c>
      <c r="AC553" s="924">
        <v>-404</v>
      </c>
      <c r="AD553" s="924">
        <v>-611</v>
      </c>
      <c r="AE553" s="265">
        <f t="shared" si="1096"/>
        <v>-814</v>
      </c>
      <c r="AF553" s="1032">
        <v>-814</v>
      </c>
      <c r="AG553" s="924">
        <v>-205</v>
      </c>
      <c r="AH553" s="924">
        <v>-419</v>
      </c>
      <c r="AI553" s="924">
        <v>-633</v>
      </c>
      <c r="AJ553" s="265">
        <f t="shared" si="1097"/>
        <v>-844</v>
      </c>
      <c r="AK553" s="1032">
        <v>-844</v>
      </c>
      <c r="AL553" s="924">
        <v>-210</v>
      </c>
      <c r="AM553" s="924">
        <v>-426</v>
      </c>
      <c r="AN553" s="924">
        <v>-643</v>
      </c>
      <c r="AO553" s="265">
        <f t="shared" si="1098"/>
        <v>-861</v>
      </c>
      <c r="AP553" s="1032">
        <v>-861</v>
      </c>
      <c r="AQ553" s="924">
        <v>-214</v>
      </c>
      <c r="AR553" s="924">
        <v>-436</v>
      </c>
      <c r="AS553" s="924">
        <v>-655</v>
      </c>
      <c r="AT553" s="265">
        <f t="shared" si="1099"/>
        <v>-869</v>
      </c>
      <c r="AU553" s="1032">
        <v>-869</v>
      </c>
      <c r="AV553" s="924">
        <v>-213</v>
      </c>
      <c r="AW553" s="924">
        <v>-436</v>
      </c>
      <c r="AX553" s="924">
        <v>-656</v>
      </c>
      <c r="AY553" s="265">
        <f t="shared" si="1100"/>
        <v>-875</v>
      </c>
      <c r="AZ553" s="1032">
        <v>-875</v>
      </c>
      <c r="BA553" s="924">
        <v>-215</v>
      </c>
      <c r="BB553" s="924">
        <v>-447</v>
      </c>
      <c r="BC553" s="924">
        <v>-676</v>
      </c>
      <c r="BD553" s="265">
        <f t="shared" si="1101"/>
        <v>-908</v>
      </c>
      <c r="BE553" s="1032">
        <v>-908</v>
      </c>
      <c r="BF553" s="924">
        <v>-229</v>
      </c>
      <c r="BG553" s="924">
        <v>-473</v>
      </c>
      <c r="BH553" s="925">
        <v>-711</v>
      </c>
      <c r="BI553" s="210"/>
      <c r="BJ553" s="994"/>
      <c r="BK553" s="210"/>
      <c r="BL553" s="210"/>
      <c r="BM553" s="210"/>
      <c r="BN553" s="210"/>
      <c r="BO553" s="994"/>
      <c r="BP553" s="994"/>
      <c r="BQ553" s="994"/>
      <c r="BR553" s="994"/>
      <c r="BS553" s="833"/>
    </row>
    <row r="554" spans="1:71" s="24" customFormat="1" ht="15" hidden="1" outlineLevel="1">
      <c r="A554" s="263" t="s">
        <v>220</v>
      </c>
      <c r="B554" s="462"/>
      <c r="C554" s="1032">
        <v>-143</v>
      </c>
      <c r="D554" s="1032">
        <v>-1160</v>
      </c>
      <c r="E554" s="1032">
        <v>-8</v>
      </c>
      <c r="F554" s="1032">
        <v>-258</v>
      </c>
      <c r="G554" s="1032">
        <v>-500</v>
      </c>
      <c r="H554" s="210"/>
      <c r="I554" s="210"/>
      <c r="J554" s="210"/>
      <c r="K554" s="265">
        <f t="shared" si="1092"/>
        <v>0</v>
      </c>
      <c r="L554" s="1032">
        <v>0</v>
      </c>
      <c r="M554" s="210"/>
      <c r="N554" s="924">
        <v>0</v>
      </c>
      <c r="O554" s="924">
        <v>0</v>
      </c>
      <c r="P554" s="265">
        <f t="shared" si="1093"/>
        <v>-400</v>
      </c>
      <c r="Q554" s="1032">
        <v>-400</v>
      </c>
      <c r="R554" s="210"/>
      <c r="S554" s="924">
        <v>-400</v>
      </c>
      <c r="T554" s="924">
        <v>-400</v>
      </c>
      <c r="U554" s="265">
        <f t="shared" si="1094"/>
        <v>-400</v>
      </c>
      <c r="V554" s="1032">
        <v>-400</v>
      </c>
      <c r="W554" s="210"/>
      <c r="X554" s="924">
        <v>-207</v>
      </c>
      <c r="Y554" s="924">
        <v>-207</v>
      </c>
      <c r="Z554" s="265">
        <f t="shared" si="1095"/>
        <v>-657</v>
      </c>
      <c r="AA554" s="1032">
        <v>-657</v>
      </c>
      <c r="AB554" s="924">
        <v>-100</v>
      </c>
      <c r="AC554" s="924">
        <v>-600</v>
      </c>
      <c r="AD554" s="924">
        <v>-600</v>
      </c>
      <c r="AE554" s="265">
        <f t="shared" si="1096"/>
        <v>-600</v>
      </c>
      <c r="AF554" s="1032">
        <v>-600</v>
      </c>
      <c r="AG554" s="924">
        <v>0</v>
      </c>
      <c r="AH554" s="924">
        <v>-500</v>
      </c>
      <c r="AI554" s="924">
        <v>-500</v>
      </c>
      <c r="AJ554" s="265">
        <f t="shared" si="1097"/>
        <v>-500</v>
      </c>
      <c r="AK554" s="1032">
        <v>-500</v>
      </c>
      <c r="AL554" s="924">
        <v>0</v>
      </c>
      <c r="AM554" s="924">
        <v>0</v>
      </c>
      <c r="AN554" s="210"/>
      <c r="AO554" s="265">
        <f t="shared" si="1098"/>
        <v>-500</v>
      </c>
      <c r="AP554" s="1032">
        <v>-500</v>
      </c>
      <c r="AQ554" s="210"/>
      <c r="AR554" s="210"/>
      <c r="AS554" s="210"/>
      <c r="AT554" s="265">
        <f t="shared" si="1099"/>
        <v>0</v>
      </c>
      <c r="AU554" s="994"/>
      <c r="AV554" s="210"/>
      <c r="AW554" s="210"/>
      <c r="AX554" s="210"/>
      <c r="AY554" s="265">
        <f t="shared" si="1100"/>
        <v>0</v>
      </c>
      <c r="AZ554" s="994"/>
      <c r="BA554" s="210"/>
      <c r="BB554" s="210"/>
      <c r="BC554" s="210"/>
      <c r="BD554" s="265">
        <f t="shared" si="1101"/>
        <v>0</v>
      </c>
      <c r="BE554" s="994"/>
      <c r="BF554" s="210"/>
      <c r="BG554" s="210"/>
      <c r="BH554" s="553"/>
      <c r="BI554" s="210"/>
      <c r="BJ554" s="994"/>
      <c r="BK554" s="210"/>
      <c r="BL554" s="210"/>
      <c r="BM554" s="210"/>
      <c r="BN554" s="210"/>
      <c r="BO554" s="994"/>
      <c r="BP554" s="994"/>
      <c r="BQ554" s="994"/>
      <c r="BR554" s="994"/>
      <c r="BS554" s="833"/>
    </row>
    <row r="555" spans="1:71" s="24" customFormat="1" ht="15" hidden="1" outlineLevel="1">
      <c r="A555" s="263" t="s">
        <v>221</v>
      </c>
      <c r="B555" s="462"/>
      <c r="C555" s="1032">
        <v>494</v>
      </c>
      <c r="D555" s="1032">
        <v>1234</v>
      </c>
      <c r="E555" s="1032">
        <v>0</v>
      </c>
      <c r="F555" s="1032">
        <v>0</v>
      </c>
      <c r="G555" s="1032">
        <v>494</v>
      </c>
      <c r="H555" s="210"/>
      <c r="I555" s="210"/>
      <c r="J555" s="924">
        <v>0</v>
      </c>
      <c r="K555" s="265">
        <f t="shared" si="1092"/>
        <v>0</v>
      </c>
      <c r="L555" s="1032">
        <v>0</v>
      </c>
      <c r="M555" s="210"/>
      <c r="N555" s="924">
        <v>0</v>
      </c>
      <c r="O555" s="924">
        <v>392</v>
      </c>
      <c r="P555" s="265">
        <f t="shared" si="1093"/>
        <v>392</v>
      </c>
      <c r="Q555" s="1032">
        <v>392</v>
      </c>
      <c r="R555" s="210"/>
      <c r="S555" s="924">
        <v>491</v>
      </c>
      <c r="T555" s="924">
        <v>491</v>
      </c>
      <c r="U555" s="265">
        <f t="shared" si="1094"/>
        <v>491</v>
      </c>
      <c r="V555" s="1032">
        <v>491</v>
      </c>
      <c r="W555" s="210"/>
      <c r="X555" s="924">
        <v>689</v>
      </c>
      <c r="Y555" s="924">
        <v>689</v>
      </c>
      <c r="Z555" s="265">
        <f t="shared" si="1095"/>
        <v>789</v>
      </c>
      <c r="AA555" s="1032">
        <v>789</v>
      </c>
      <c r="AB555" s="924">
        <v>491</v>
      </c>
      <c r="AC555" s="924">
        <v>491</v>
      </c>
      <c r="AD555" s="924">
        <v>591</v>
      </c>
      <c r="AE555" s="265">
        <f t="shared" si="1096"/>
        <v>591</v>
      </c>
      <c r="AF555" s="1032">
        <v>591</v>
      </c>
      <c r="AG555" s="924">
        <v>492</v>
      </c>
      <c r="AH555" s="924">
        <v>492</v>
      </c>
      <c r="AI555" s="924">
        <v>492</v>
      </c>
      <c r="AJ555" s="265">
        <f t="shared" si="1097"/>
        <v>492</v>
      </c>
      <c r="AK555" s="1032">
        <v>492</v>
      </c>
      <c r="AL555" s="924">
        <v>0</v>
      </c>
      <c r="AM555" s="924">
        <v>490</v>
      </c>
      <c r="AN555" s="924">
        <v>490</v>
      </c>
      <c r="AO555" s="265">
        <f t="shared" si="1098"/>
        <v>490</v>
      </c>
      <c r="AP555" s="1032">
        <v>490</v>
      </c>
      <c r="AQ555" s="210"/>
      <c r="AR555" s="924">
        <v>739</v>
      </c>
      <c r="AS555" s="924">
        <v>739</v>
      </c>
      <c r="AT555" s="265">
        <f t="shared" si="1099"/>
        <v>739</v>
      </c>
      <c r="AU555" s="1032">
        <v>739</v>
      </c>
      <c r="AV555" s="210"/>
      <c r="AW555" s="210"/>
      <c r="AX555" s="210"/>
      <c r="AY555" s="265">
        <f t="shared" si="1100"/>
        <v>0</v>
      </c>
      <c r="AZ555" s="994"/>
      <c r="BA555" s="210"/>
      <c r="BB555" s="924">
        <v>738</v>
      </c>
      <c r="BC555" s="924">
        <v>738</v>
      </c>
      <c r="BD555" s="265">
        <f t="shared" si="1101"/>
        <v>738</v>
      </c>
      <c r="BE555" s="1032">
        <v>738</v>
      </c>
      <c r="BF555" s="210"/>
      <c r="BG555" s="210"/>
      <c r="BH555" s="925">
        <v>0</v>
      </c>
      <c r="BI555" s="210"/>
      <c r="BJ555" s="994"/>
      <c r="BK555" s="210"/>
      <c r="BL555" s="210"/>
      <c r="BM555" s="210"/>
      <c r="BN555" s="210"/>
      <c r="BO555" s="994"/>
      <c r="BP555" s="994"/>
      <c r="BQ555" s="994"/>
      <c r="BR555" s="994"/>
      <c r="BS555" s="833"/>
    </row>
    <row r="556" spans="1:71" s="24" customFormat="1" ht="15" hidden="1" outlineLevel="1">
      <c r="A556" s="263" t="s">
        <v>222</v>
      </c>
      <c r="B556" s="462"/>
      <c r="C556" s="1032">
        <v>180</v>
      </c>
      <c r="D556" s="1032">
        <v>408</v>
      </c>
      <c r="E556" s="1032">
        <v>314</v>
      </c>
      <c r="F556" s="1032">
        <v>295</v>
      </c>
      <c r="G556" s="1032">
        <v>206</v>
      </c>
      <c r="H556" s="924">
        <v>57</v>
      </c>
      <c r="I556" s="924">
        <v>122</v>
      </c>
      <c r="J556" s="924">
        <v>154</v>
      </c>
      <c r="K556" s="265">
        <f t="shared" si="1092"/>
        <v>195</v>
      </c>
      <c r="L556" s="1032">
        <v>195</v>
      </c>
      <c r="M556" s="924">
        <v>90</v>
      </c>
      <c r="N556" s="924">
        <v>117</v>
      </c>
      <c r="O556" s="924">
        <v>142</v>
      </c>
      <c r="P556" s="265">
        <f t="shared" si="1093"/>
        <v>183</v>
      </c>
      <c r="Q556" s="1032">
        <v>183</v>
      </c>
      <c r="R556" s="924">
        <v>64</v>
      </c>
      <c r="S556" s="924">
        <v>129</v>
      </c>
      <c r="T556" s="924">
        <v>164</v>
      </c>
      <c r="U556" s="265">
        <f t="shared" si="1094"/>
        <v>332</v>
      </c>
      <c r="V556" s="1032">
        <v>332</v>
      </c>
      <c r="W556" s="924">
        <v>83</v>
      </c>
      <c r="X556" s="924">
        <v>118</v>
      </c>
      <c r="Y556" s="924">
        <v>148</v>
      </c>
      <c r="Z556" s="265">
        <f t="shared" si="1095"/>
        <v>173</v>
      </c>
      <c r="AA556" s="1032">
        <v>173</v>
      </c>
      <c r="AB556" s="924">
        <v>85</v>
      </c>
      <c r="AC556" s="924">
        <v>98</v>
      </c>
      <c r="AD556" s="924">
        <v>117</v>
      </c>
      <c r="AE556" s="265">
        <f t="shared" si="1096"/>
        <v>132</v>
      </c>
      <c r="AF556" s="1032">
        <v>132</v>
      </c>
      <c r="AG556" s="924">
        <v>63</v>
      </c>
      <c r="AH556" s="924">
        <v>174</v>
      </c>
      <c r="AI556" s="924">
        <v>206</v>
      </c>
      <c r="AJ556" s="265">
        <f t="shared" si="1097"/>
        <v>213</v>
      </c>
      <c r="AK556" s="1032">
        <v>213</v>
      </c>
      <c r="AL556" s="924">
        <v>31</v>
      </c>
      <c r="AM556" s="924">
        <v>65</v>
      </c>
      <c r="AN556" s="924">
        <v>72</v>
      </c>
      <c r="AO556" s="265">
        <f t="shared" si="1098"/>
        <v>127</v>
      </c>
      <c r="AP556" s="1032">
        <v>127</v>
      </c>
      <c r="AQ556" s="924">
        <v>134</v>
      </c>
      <c r="AR556" s="924">
        <v>206</v>
      </c>
      <c r="AS556" s="924">
        <v>256</v>
      </c>
      <c r="AT556" s="265">
        <f t="shared" si="1099"/>
        <v>293</v>
      </c>
      <c r="AU556" s="1032">
        <v>293</v>
      </c>
      <c r="AV556" s="924">
        <v>159</v>
      </c>
      <c r="AW556" s="924">
        <v>194</v>
      </c>
      <c r="AX556" s="924">
        <v>205</v>
      </c>
      <c r="AY556" s="265">
        <f t="shared" si="1100"/>
        <v>267</v>
      </c>
      <c r="AZ556" s="1032">
        <v>267</v>
      </c>
      <c r="BA556" s="924">
        <v>82</v>
      </c>
      <c r="BB556" s="924">
        <v>110</v>
      </c>
      <c r="BC556" s="924">
        <v>117</v>
      </c>
      <c r="BD556" s="265">
        <f t="shared" si="1101"/>
        <v>141</v>
      </c>
      <c r="BE556" s="1032">
        <v>141</v>
      </c>
      <c r="BF556" s="924">
        <v>190</v>
      </c>
      <c r="BG556" s="924">
        <v>212</v>
      </c>
      <c r="BH556" s="925">
        <v>245</v>
      </c>
      <c r="BI556" s="210"/>
      <c r="BJ556" s="994"/>
      <c r="BK556" s="210"/>
      <c r="BL556" s="210"/>
      <c r="BM556" s="210"/>
      <c r="BN556" s="210"/>
      <c r="BO556" s="994"/>
      <c r="BP556" s="994"/>
      <c r="BQ556" s="994"/>
      <c r="BR556" s="994"/>
      <c r="BS556" s="833"/>
    </row>
    <row r="557" spans="1:71" s="24" customFormat="1" ht="15" hidden="1" outlineLevel="1">
      <c r="A557" s="60" t="s">
        <v>223</v>
      </c>
      <c r="B557" s="478"/>
      <c r="C557" s="1033">
        <v>8</v>
      </c>
      <c r="D557" s="1033">
        <v>8</v>
      </c>
      <c r="E557" s="1033">
        <v>18</v>
      </c>
      <c r="F557" s="1033">
        <v>38</v>
      </c>
      <c r="G557" s="1033">
        <v>51</v>
      </c>
      <c r="H557" s="927">
        <v>13</v>
      </c>
      <c r="I557" s="927">
        <v>24</v>
      </c>
      <c r="J557" s="927">
        <v>38</v>
      </c>
      <c r="K557" s="186">
        <f t="shared" si="1092"/>
        <v>57</v>
      </c>
      <c r="L557" s="1033">
        <v>57</v>
      </c>
      <c r="M557" s="927">
        <v>27</v>
      </c>
      <c r="N557" s="927">
        <v>31</v>
      </c>
      <c r="O557" s="927">
        <v>42</v>
      </c>
      <c r="P557" s="186">
        <f t="shared" si="1093"/>
        <v>55</v>
      </c>
      <c r="Q557" s="1033">
        <v>55</v>
      </c>
      <c r="R557" s="205"/>
      <c r="S557" s="205"/>
      <c r="T557" s="205"/>
      <c r="U557" s="186">
        <f t="shared" si="1094"/>
        <v>0</v>
      </c>
      <c r="V557" s="1033">
        <v>0</v>
      </c>
      <c r="W557" s="205"/>
      <c r="X557" s="205"/>
      <c r="Y557" s="205"/>
      <c r="Z557" s="186">
        <f t="shared" si="1095"/>
        <v>0</v>
      </c>
      <c r="AA557" s="1033">
        <v>0</v>
      </c>
      <c r="AB557" s="205"/>
      <c r="AC557" s="205"/>
      <c r="AD557" s="205"/>
      <c r="AE557" s="186">
        <f t="shared" si="1096"/>
        <v>0</v>
      </c>
      <c r="AF557" s="996"/>
      <c r="AG557" s="205"/>
      <c r="AH557" s="205"/>
      <c r="AI557" s="205"/>
      <c r="AJ557" s="186">
        <f t="shared" si="1097"/>
        <v>0</v>
      </c>
      <c r="AK557" s="996"/>
      <c r="AL557" s="205"/>
      <c r="AM557" s="205"/>
      <c r="AN557" s="205"/>
      <c r="AO557" s="186">
        <f t="shared" si="1098"/>
        <v>0</v>
      </c>
      <c r="AP557" s="996"/>
      <c r="AQ557" s="205"/>
      <c r="AR557" s="205"/>
      <c r="AS557" s="205"/>
      <c r="AT557" s="186">
        <f t="shared" si="1099"/>
        <v>0</v>
      </c>
      <c r="AU557" s="996"/>
      <c r="AV557" s="205"/>
      <c r="AW557" s="205"/>
      <c r="AX557" s="205"/>
      <c r="AY557" s="186">
        <f t="shared" si="1100"/>
        <v>0</v>
      </c>
      <c r="AZ557" s="996"/>
      <c r="BA557" s="205"/>
      <c r="BB557" s="205"/>
      <c r="BC557" s="205"/>
      <c r="BD557" s="186">
        <f t="shared" si="1101"/>
        <v>0</v>
      </c>
      <c r="BE557" s="996"/>
      <c r="BF557" s="205"/>
      <c r="BG557" s="205"/>
      <c r="BH557" s="658"/>
      <c r="BI557" s="205"/>
      <c r="BJ557" s="996"/>
      <c r="BK557" s="205"/>
      <c r="BL557" s="205"/>
      <c r="BM557" s="205"/>
      <c r="BN557" s="205"/>
      <c r="BO557" s="996"/>
      <c r="BP557" s="996"/>
      <c r="BQ557" s="996"/>
      <c r="BR557" s="996"/>
      <c r="BS557" s="833"/>
    </row>
    <row r="558" spans="1:71" s="181" customFormat="1" ht="15" hidden="1" outlineLevel="1">
      <c r="A558" s="62" t="s">
        <v>224</v>
      </c>
      <c r="B558" s="479"/>
      <c r="C558" s="997">
        <f t="shared" si="1102" ref="C558:AM558">SUM(C551:C557)</f>
        <v>-3442</v>
      </c>
      <c r="D558" s="997">
        <f t="shared" si="1102"/>
        <v>-5221</v>
      </c>
      <c r="E558" s="997">
        <f t="shared" si="1102"/>
        <v>-3306</v>
      </c>
      <c r="F558" s="997">
        <f t="shared" si="1102"/>
        <v>-2146</v>
      </c>
      <c r="G558" s="997">
        <f t="shared" si="1102"/>
        <v>-2939</v>
      </c>
      <c r="H558" s="193">
        <f t="shared" si="1102"/>
        <v>-810</v>
      </c>
      <c r="I558" s="193">
        <f t="shared" si="1102"/>
        <v>-1799</v>
      </c>
      <c r="J558" s="193">
        <f t="shared" si="1102"/>
        <v>-2688</v>
      </c>
      <c r="K558" s="193">
        <f t="shared" si="1102"/>
        <v>-3809</v>
      </c>
      <c r="L558" s="997">
        <f t="shared" si="1102"/>
        <v>-3809</v>
      </c>
      <c r="M558" s="193">
        <f t="shared" si="1102"/>
        <v>-731</v>
      </c>
      <c r="N558" s="193">
        <f t="shared" si="1102"/>
        <v>-1693</v>
      </c>
      <c r="O558" s="193">
        <f t="shared" si="1102"/>
        <v>-2204</v>
      </c>
      <c r="P558" s="193">
        <f t="shared" si="1102"/>
        <v>-3733</v>
      </c>
      <c r="Q558" s="997">
        <f t="shared" si="1102"/>
        <v>-3733</v>
      </c>
      <c r="R558" s="193">
        <f t="shared" si="1102"/>
        <v>-725</v>
      </c>
      <c r="S558" s="193">
        <f t="shared" si="1102"/>
        <v>-1314</v>
      </c>
      <c r="T558" s="193">
        <f t="shared" si="1102"/>
        <v>-2035</v>
      </c>
      <c r="U558" s="193">
        <f t="shared" si="1102"/>
        <v>-2806</v>
      </c>
      <c r="V558" s="997">
        <f t="shared" si="1102"/>
        <v>-2806</v>
      </c>
      <c r="W558" s="193">
        <f t="shared" si="1102"/>
        <v>-393</v>
      </c>
      <c r="X558" s="193">
        <f t="shared" si="1102"/>
        <v>-550</v>
      </c>
      <c r="Y558" s="193">
        <f t="shared" si="1102"/>
        <v>-1048</v>
      </c>
      <c r="Z558" s="193">
        <f t="shared" si="1102"/>
        <v>-1920</v>
      </c>
      <c r="AA558" s="997">
        <f t="shared" si="1102"/>
        <v>-1920</v>
      </c>
      <c r="AB558" s="193">
        <f t="shared" si="1102"/>
        <v>-122</v>
      </c>
      <c r="AC558" s="193">
        <f t="shared" si="1102"/>
        <v>-1166</v>
      </c>
      <c r="AD558" s="193">
        <f t="shared" si="1102"/>
        <v>-1654</v>
      </c>
      <c r="AE558" s="193">
        <f t="shared" si="1102"/>
        <v>-2012</v>
      </c>
      <c r="AF558" s="997">
        <f t="shared" si="1102"/>
        <v>-2012</v>
      </c>
      <c r="AG558" s="193">
        <f t="shared" si="1102"/>
        <v>-71</v>
      </c>
      <c r="AH558" s="193">
        <f t="shared" si="1102"/>
        <v>-1050</v>
      </c>
      <c r="AI558" s="193">
        <f t="shared" si="1102"/>
        <v>-1607</v>
      </c>
      <c r="AJ558" s="193">
        <f t="shared" si="1102"/>
        <v>-2187</v>
      </c>
      <c r="AK558" s="997">
        <f t="shared" si="1102"/>
        <v>-2187</v>
      </c>
      <c r="AL558" s="193">
        <f t="shared" si="1102"/>
        <v>-650</v>
      </c>
      <c r="AM558" s="193">
        <f t="shared" si="1102"/>
        <v>-342</v>
      </c>
      <c r="AN558" s="193">
        <f>SUM(AN551:AN557)</f>
        <v>-552</v>
      </c>
      <c r="AO558" s="193">
        <f t="shared" si="1103" ref="AO558:AQ558">SUM(AO551:AO557)</f>
        <v>-1416</v>
      </c>
      <c r="AP558" s="997">
        <f t="shared" si="1103"/>
        <v>-1416</v>
      </c>
      <c r="AQ558" s="193">
        <f t="shared" si="1103"/>
        <v>-477</v>
      </c>
      <c r="AR558" s="193">
        <f t="shared" si="1104" ref="AR558:AW558">SUM(AR551:AR557)</f>
        <v>-289</v>
      </c>
      <c r="AS558" s="193">
        <f t="shared" si="1104"/>
        <v>-1059</v>
      </c>
      <c r="AT558" s="193">
        <f t="shared" si="1104"/>
        <v>-2037</v>
      </c>
      <c r="AU558" s="997">
        <f t="shared" si="1104"/>
        <v>-2037</v>
      </c>
      <c r="AV558" s="193">
        <f t="shared" si="1104"/>
        <v>-613</v>
      </c>
      <c r="AW558" s="193">
        <f t="shared" si="1104"/>
        <v>-1301</v>
      </c>
      <c r="AX558" s="193">
        <f t="shared" si="1105" ref="AX558:BC558">SUM(AX551:AX557)</f>
        <v>-2011</v>
      </c>
      <c r="AY558" s="193">
        <f t="shared" si="1105"/>
        <v>-2669</v>
      </c>
      <c r="AZ558" s="997">
        <f t="shared" si="1105"/>
        <v>-2669</v>
      </c>
      <c r="BA558" s="193">
        <f t="shared" si="1105"/>
        <v>-593</v>
      </c>
      <c r="BB558" s="193">
        <f t="shared" si="1105"/>
        <v>-455</v>
      </c>
      <c r="BC558" s="193">
        <f t="shared" si="1105"/>
        <v>-778</v>
      </c>
      <c r="BD558" s="193">
        <f>SUM(BD551:BD557)</f>
        <v>-1051</v>
      </c>
      <c r="BE558" s="997">
        <f>SUM(BE551:BE557)</f>
        <v>-1051</v>
      </c>
      <c r="BF558" s="193">
        <f>SUM(BF551:BF557)</f>
        <v>-399</v>
      </c>
      <c r="BG558" s="193">
        <f>SUM(BG551:BG557)</f>
        <v>-871</v>
      </c>
      <c r="BH558" s="747">
        <f>SUM(BH551:BH557)</f>
        <v>-1325</v>
      </c>
      <c r="BI558" s="194"/>
      <c r="BJ558" s="998"/>
      <c r="BK558" s="194"/>
      <c r="BL558" s="194"/>
      <c r="BM558" s="194"/>
      <c r="BN558" s="194"/>
      <c r="BO558" s="998"/>
      <c r="BP558" s="998"/>
      <c r="BQ558" s="998"/>
      <c r="BR558" s="998"/>
      <c r="BS558" s="423"/>
    </row>
    <row r="559" spans="1:71" s="181" customFormat="1" ht="15" hidden="1" outlineLevel="1">
      <c r="A559" s="453"/>
      <c r="B559" s="480"/>
      <c r="C559" s="1009"/>
      <c r="D559" s="1009"/>
      <c r="E559" s="1009"/>
      <c r="F559" s="1009"/>
      <c r="G559" s="1009"/>
      <c r="H559" s="199"/>
      <c r="I559" s="199"/>
      <c r="J559" s="199"/>
      <c r="K559" s="199"/>
      <c r="L559" s="1009"/>
      <c r="M559" s="199"/>
      <c r="N559" s="199"/>
      <c r="O559" s="199"/>
      <c r="P559" s="199"/>
      <c r="Q559" s="1009"/>
      <c r="R559" s="199"/>
      <c r="S559" s="199"/>
      <c r="T559" s="199"/>
      <c r="U559" s="199"/>
      <c r="V559" s="1009"/>
      <c r="W559" s="199"/>
      <c r="X559" s="199"/>
      <c r="Y559" s="199"/>
      <c r="Z559" s="199"/>
      <c r="AA559" s="1009"/>
      <c r="AB559" s="199"/>
      <c r="AC559" s="199"/>
      <c r="AD559" s="199"/>
      <c r="AE559" s="199"/>
      <c r="AF559" s="1009"/>
      <c r="AG559" s="199"/>
      <c r="AH559" s="199"/>
      <c r="AI559" s="199"/>
      <c r="AJ559" s="199"/>
      <c r="AK559" s="1009"/>
      <c r="AL559" s="199"/>
      <c r="AM559" s="199"/>
      <c r="AN559" s="199"/>
      <c r="AO559" s="199"/>
      <c r="AP559" s="1009"/>
      <c r="AQ559" s="199"/>
      <c r="AR559" s="199"/>
      <c r="AS559" s="199"/>
      <c r="AT559" s="199"/>
      <c r="AU559" s="1009"/>
      <c r="AV559" s="199"/>
      <c r="AW559" s="199"/>
      <c r="AX559" s="199"/>
      <c r="AY559" s="199"/>
      <c r="AZ559" s="1009"/>
      <c r="BA559" s="199"/>
      <c r="BB559" s="199"/>
      <c r="BC559" s="199"/>
      <c r="BD559" s="199"/>
      <c r="BE559" s="1009"/>
      <c r="BF559" s="199"/>
      <c r="BG559" s="199"/>
      <c r="BH559" s="554"/>
      <c r="BI559" s="199"/>
      <c r="BJ559" s="1009"/>
      <c r="BK559" s="199"/>
      <c r="BL559" s="199"/>
      <c r="BM559" s="199"/>
      <c r="BN559" s="199"/>
      <c r="BO559" s="1009"/>
      <c r="BP559" s="1009"/>
      <c r="BQ559" s="1009"/>
      <c r="BR559" s="1009"/>
      <c r="BS559" s="423"/>
    </row>
    <row r="560" spans="1:71" s="24" customFormat="1" ht="15" hidden="1" outlineLevel="1">
      <c r="A560" s="64" t="s">
        <v>225</v>
      </c>
      <c r="B560" s="462"/>
      <c r="C560" s="1032">
        <v>15</v>
      </c>
      <c r="D560" s="1032">
        <v>3</v>
      </c>
      <c r="E560" s="1032">
        <v>-1</v>
      </c>
      <c r="F560" s="1032">
        <v>4</v>
      </c>
      <c r="G560" s="1032">
        <v>-3</v>
      </c>
      <c r="H560" s="924">
        <v>-2</v>
      </c>
      <c r="I560" s="924">
        <v>1</v>
      </c>
      <c r="J560" s="924">
        <v>-5</v>
      </c>
      <c r="K560" s="265">
        <f>L560</f>
        <v>-10</v>
      </c>
      <c r="L560" s="1032">
        <v>-10</v>
      </c>
      <c r="M560" s="924">
        <v>-8</v>
      </c>
      <c r="N560" s="924">
        <v>-4</v>
      </c>
      <c r="O560" s="924">
        <v>-9</v>
      </c>
      <c r="P560" s="265">
        <f>Q560</f>
        <v>-12</v>
      </c>
      <c r="Q560" s="1032">
        <v>-12</v>
      </c>
      <c r="R560" s="924">
        <v>2</v>
      </c>
      <c r="S560" s="924">
        <v>-3</v>
      </c>
      <c r="T560" s="924">
        <v>-5</v>
      </c>
      <c r="U560" s="265">
        <f>V560</f>
        <v>-9</v>
      </c>
      <c r="V560" s="1032">
        <v>-9</v>
      </c>
      <c r="W560" s="924">
        <v>2</v>
      </c>
      <c r="X560" s="924">
        <v>7</v>
      </c>
      <c r="Y560" s="924">
        <v>11</v>
      </c>
      <c r="Z560" s="265">
        <f>AA560</f>
        <v>11</v>
      </c>
      <c r="AA560" s="1032">
        <v>11</v>
      </c>
      <c r="AB560" s="924">
        <v>2</v>
      </c>
      <c r="AC560" s="924">
        <v>-4</v>
      </c>
      <c r="AD560" s="924">
        <v>-4</v>
      </c>
      <c r="AE560" s="265">
        <f>AF560</f>
        <v>-10</v>
      </c>
      <c r="AF560" s="1032">
        <v>-10</v>
      </c>
      <c r="AG560" s="924">
        <v>2</v>
      </c>
      <c r="AH560" s="924">
        <v>2</v>
      </c>
      <c r="AI560" s="924">
        <v>-4</v>
      </c>
      <c r="AJ560" s="265">
        <f>AK560</f>
        <v>5</v>
      </c>
      <c r="AK560" s="1032">
        <v>5</v>
      </c>
      <c r="AL560" s="924">
        <v>-12</v>
      </c>
      <c r="AM560" s="924">
        <v>-7</v>
      </c>
      <c r="AN560" s="924">
        <v>0</v>
      </c>
      <c r="AO560" s="265">
        <f>AP560</f>
        <v>16</v>
      </c>
      <c r="AP560" s="1032">
        <v>16</v>
      </c>
      <c r="AQ560" s="924">
        <v>3</v>
      </c>
      <c r="AR560" s="924">
        <v>3</v>
      </c>
      <c r="AS560" s="924">
        <v>-4</v>
      </c>
      <c r="AT560" s="265">
        <f>AU560</f>
        <v>-1</v>
      </c>
      <c r="AU560" s="1032">
        <v>-1</v>
      </c>
      <c r="AV560" s="924">
        <v>-5</v>
      </c>
      <c r="AW560" s="924">
        <v>-24</v>
      </c>
      <c r="AX560" s="924">
        <v>-48</v>
      </c>
      <c r="AY560" s="265">
        <f>AZ560</f>
        <v>-30</v>
      </c>
      <c r="AZ560" s="1032">
        <v>-30</v>
      </c>
      <c r="BA560" s="924">
        <v>4</v>
      </c>
      <c r="BB560" s="924">
        <v>12</v>
      </c>
      <c r="BC560" s="924">
        <v>2</v>
      </c>
      <c r="BD560" s="265">
        <f>BE560</f>
        <v>12</v>
      </c>
      <c r="BE560" s="1032">
        <v>12</v>
      </c>
      <c r="BF560" s="924">
        <v>-5</v>
      </c>
      <c r="BG560" s="924">
        <v>-5</v>
      </c>
      <c r="BH560" s="925">
        <v>8</v>
      </c>
      <c r="BI560" s="210"/>
      <c r="BJ560" s="994"/>
      <c r="BK560" s="210"/>
      <c r="BL560" s="210"/>
      <c r="BM560" s="210"/>
      <c r="BN560" s="210"/>
      <c r="BO560" s="994"/>
      <c r="BP560" s="994"/>
      <c r="BQ560" s="994"/>
      <c r="BR560" s="994"/>
      <c r="BS560" s="833"/>
    </row>
    <row r="561" spans="1:71" s="181" customFormat="1" ht="15" hidden="1" outlineLevel="1">
      <c r="A561" s="183" t="s">
        <v>226</v>
      </c>
      <c r="B561" s="480"/>
      <c r="C561" s="1008">
        <f t="shared" si="1106" ref="C561:AM561">C532+C548+C558+C560</f>
        <v>-95</v>
      </c>
      <c r="D561" s="1008">
        <f t="shared" si="1106"/>
        <v>-55</v>
      </c>
      <c r="E561" s="1008">
        <f t="shared" si="1106"/>
        <v>14</v>
      </c>
      <c r="F561" s="1008">
        <f t="shared" si="1106"/>
        <v>116</v>
      </c>
      <c r="G561" s="1008">
        <f t="shared" si="1106"/>
        <v>-36</v>
      </c>
      <c r="H561" s="185">
        <f t="shared" si="1106"/>
        <v>-34</v>
      </c>
      <c r="I561" s="185">
        <f t="shared" si="1106"/>
        <v>17</v>
      </c>
      <c r="J561" s="185">
        <f t="shared" si="1106"/>
        <v>73</v>
      </c>
      <c r="K561" s="185">
        <f t="shared" si="1106"/>
        <v>80</v>
      </c>
      <c r="L561" s="1008">
        <f t="shared" si="1106"/>
        <v>80</v>
      </c>
      <c r="M561" s="185">
        <f t="shared" si="1106"/>
        <v>-66</v>
      </c>
      <c r="N561" s="185">
        <f t="shared" si="1106"/>
        <v>-57</v>
      </c>
      <c r="O561" s="185">
        <f t="shared" si="1106"/>
        <v>-30</v>
      </c>
      <c r="P561" s="185">
        <f t="shared" si="1106"/>
        <v>6</v>
      </c>
      <c r="Q561" s="1008">
        <f t="shared" si="1106"/>
        <v>6</v>
      </c>
      <c r="R561" s="185">
        <f t="shared" si="1106"/>
        <v>-19</v>
      </c>
      <c r="S561" s="185">
        <f t="shared" si="1106"/>
        <v>-115</v>
      </c>
      <c r="T561" s="185">
        <f t="shared" si="1106"/>
        <v>-111</v>
      </c>
      <c r="U561" s="185">
        <f t="shared" si="1106"/>
        <v>-73</v>
      </c>
      <c r="V561" s="1008">
        <f t="shared" si="1106"/>
        <v>-73</v>
      </c>
      <c r="W561" s="185">
        <f t="shared" si="1106"/>
        <v>-58</v>
      </c>
      <c r="X561" s="185">
        <f t="shared" si="1106"/>
        <v>21</v>
      </c>
      <c r="Y561" s="185">
        <f t="shared" si="1106"/>
        <v>72</v>
      </c>
      <c r="Z561" s="185">
        <f t="shared" si="1106"/>
        <v>37</v>
      </c>
      <c r="AA561" s="1008">
        <f t="shared" si="1106"/>
        <v>37</v>
      </c>
      <c r="AB561" s="185">
        <f t="shared" si="1106"/>
        <v>53</v>
      </c>
      <c r="AC561" s="185">
        <f t="shared" si="1106"/>
        <v>71</v>
      </c>
      <c r="AD561" s="185">
        <f t="shared" si="1106"/>
        <v>15</v>
      </c>
      <c r="AE561" s="185">
        <f t="shared" si="1106"/>
        <v>29</v>
      </c>
      <c r="AF561" s="1008">
        <f t="shared" si="1106"/>
        <v>29</v>
      </c>
      <c r="AG561" s="185">
        <f t="shared" si="1106"/>
        <v>-16</v>
      </c>
      <c r="AH561" s="185">
        <f t="shared" si="1106"/>
        <v>43</v>
      </c>
      <c r="AI561" s="185">
        <f t="shared" si="1106"/>
        <v>135</v>
      </c>
      <c r="AJ561" s="185">
        <f t="shared" si="1106"/>
        <v>121</v>
      </c>
      <c r="AK561" s="1008">
        <f t="shared" si="1106"/>
        <v>121</v>
      </c>
      <c r="AL561" s="185">
        <f t="shared" si="1106"/>
        <v>50</v>
      </c>
      <c r="AM561" s="185">
        <f t="shared" si="1106"/>
        <v>129</v>
      </c>
      <c r="AN561" s="185">
        <f>AN532+AN548+AN558+AN560</f>
        <v>89</v>
      </c>
      <c r="AO561" s="185">
        <f t="shared" si="1107" ref="AO561:AQ561">AO532+AO548+AO558+AO560</f>
        <v>227</v>
      </c>
      <c r="AP561" s="1008">
        <f t="shared" si="1107"/>
        <v>227</v>
      </c>
      <c r="AQ561" s="185">
        <f t="shared" si="1107"/>
        <v>-58</v>
      </c>
      <c r="AR561" s="185">
        <f t="shared" si="1108" ref="AR561:AW561">AR532+AR548+AR558+AR560</f>
        <v>-32</v>
      </c>
      <c r="AS561" s="185">
        <f t="shared" si="1108"/>
        <v>97</v>
      </c>
      <c r="AT561" s="185">
        <f t="shared" si="1108"/>
        <v>40</v>
      </c>
      <c r="AU561" s="1008">
        <f t="shared" si="1108"/>
        <v>40</v>
      </c>
      <c r="AV561" s="185">
        <f t="shared" si="1108"/>
        <v>-9</v>
      </c>
      <c r="AW561" s="185">
        <f t="shared" si="1108"/>
        <v>-51</v>
      </c>
      <c r="AX561" s="185">
        <f t="shared" si="1109" ref="AX561:BC561">AX532+AX548+AX558+AX560</f>
        <v>12</v>
      </c>
      <c r="AY561" s="185">
        <f t="shared" si="1109"/>
        <v>38</v>
      </c>
      <c r="AZ561" s="1008">
        <f t="shared" si="1109"/>
        <v>38</v>
      </c>
      <c r="BA561" s="185">
        <f t="shared" si="1109"/>
        <v>-32</v>
      </c>
      <c r="BB561" s="185">
        <f t="shared" si="1109"/>
        <v>-194</v>
      </c>
      <c r="BC561" s="185">
        <f t="shared" si="1109"/>
        <v>-206</v>
      </c>
      <c r="BD561" s="185">
        <f>BD532+BD548+BD558+BD560</f>
        <v>-149</v>
      </c>
      <c r="BE561" s="1008">
        <f>BE532+BE548+BE558+BE560</f>
        <v>-149</v>
      </c>
      <c r="BF561" s="185">
        <f>BF532+BF548+BF558+BF560</f>
        <v>17</v>
      </c>
      <c r="BG561" s="185">
        <f>BG532+BG548+BG558+BG560</f>
        <v>79</v>
      </c>
      <c r="BH561" s="749">
        <f>BH532+BH548+BH558+BH560</f>
        <v>122</v>
      </c>
      <c r="BI561" s="199"/>
      <c r="BJ561" s="1009"/>
      <c r="BK561" s="199"/>
      <c r="BL561" s="199"/>
      <c r="BM561" s="199"/>
      <c r="BN561" s="199"/>
      <c r="BO561" s="1009"/>
      <c r="BP561" s="1009"/>
      <c r="BQ561" s="1009"/>
      <c r="BR561" s="1009"/>
      <c r="BS561" s="423"/>
    </row>
    <row r="562" spans="1:71" s="181" customFormat="1" ht="15" hidden="1" outlineLevel="1">
      <c r="A562" s="453"/>
      <c r="B562" s="480"/>
      <c r="C562" s="1009"/>
      <c r="D562" s="1009"/>
      <c r="E562" s="1009"/>
      <c r="F562" s="1009"/>
      <c r="G562" s="1009"/>
      <c r="H562" s="199"/>
      <c r="I562" s="199"/>
      <c r="J562" s="199"/>
      <c r="K562" s="199"/>
      <c r="L562" s="1009"/>
      <c r="M562" s="199"/>
      <c r="N562" s="199"/>
      <c r="O562" s="199"/>
      <c r="P562" s="199"/>
      <c r="Q562" s="1009"/>
      <c r="R562" s="199"/>
      <c r="S562" s="199"/>
      <c r="T562" s="199"/>
      <c r="U562" s="199"/>
      <c r="V562" s="1009"/>
      <c r="W562" s="199"/>
      <c r="X562" s="199"/>
      <c r="Y562" s="199"/>
      <c r="Z562" s="199"/>
      <c r="AA562" s="1009"/>
      <c r="AB562" s="199"/>
      <c r="AC562" s="199"/>
      <c r="AD562" s="199"/>
      <c r="AE562" s="199"/>
      <c r="AF562" s="1009"/>
      <c r="AG562" s="199"/>
      <c r="AH562" s="199"/>
      <c r="AI562" s="199"/>
      <c r="AJ562" s="199"/>
      <c r="AK562" s="1009"/>
      <c r="AL562" s="199"/>
      <c r="AM562" s="199"/>
      <c r="AN562" s="199"/>
      <c r="AO562" s="199"/>
      <c r="AP562" s="1009"/>
      <c r="AQ562" s="199"/>
      <c r="AR562" s="199"/>
      <c r="AS562" s="199"/>
      <c r="AT562" s="199"/>
      <c r="AU562" s="1009"/>
      <c r="AV562" s="199"/>
      <c r="AW562" s="199"/>
      <c r="AX562" s="199"/>
      <c r="AY562" s="199"/>
      <c r="AZ562" s="1009"/>
      <c r="BA562" s="199"/>
      <c r="BB562" s="199"/>
      <c r="BC562" s="199"/>
      <c r="BD562" s="199"/>
      <c r="BE562" s="1009"/>
      <c r="BF562" s="199"/>
      <c r="BG562" s="199"/>
      <c r="BH562" s="554"/>
      <c r="BI562" s="199"/>
      <c r="BJ562" s="1009"/>
      <c r="BK562" s="199"/>
      <c r="BL562" s="199"/>
      <c r="BM562" s="199"/>
      <c r="BN562" s="199"/>
      <c r="BO562" s="1009"/>
      <c r="BP562" s="1009"/>
      <c r="BQ562" s="1009"/>
      <c r="BR562" s="1009"/>
      <c r="BS562" s="423"/>
    </row>
    <row r="563" spans="1:71" s="181" customFormat="1" ht="15" hidden="1" outlineLevel="1">
      <c r="A563" s="183" t="s">
        <v>227</v>
      </c>
      <c r="B563" s="480"/>
      <c r="C563" s="1031">
        <v>350</v>
      </c>
      <c r="D563" s="1008">
        <f>C564</f>
        <v>255</v>
      </c>
      <c r="E563" s="1008">
        <f>D564</f>
        <v>200</v>
      </c>
      <c r="F563" s="1008">
        <f>E564</f>
        <v>214</v>
      </c>
      <c r="G563" s="1008">
        <f>F564</f>
        <v>330</v>
      </c>
      <c r="H563" s="185">
        <f>G564</f>
        <v>294</v>
      </c>
      <c r="I563" s="185">
        <f>H563</f>
        <v>294</v>
      </c>
      <c r="J563" s="185">
        <f>I563</f>
        <v>294</v>
      </c>
      <c r="K563" s="185">
        <f>J563</f>
        <v>294</v>
      </c>
      <c r="L563" s="1008">
        <f>G564</f>
        <v>294</v>
      </c>
      <c r="M563" s="185">
        <f>L564</f>
        <v>374</v>
      </c>
      <c r="N563" s="185">
        <f>M563</f>
        <v>374</v>
      </c>
      <c r="O563" s="185">
        <f>N563</f>
        <v>374</v>
      </c>
      <c r="P563" s="185">
        <f>O563</f>
        <v>374</v>
      </c>
      <c r="Q563" s="1008">
        <f>L564</f>
        <v>374</v>
      </c>
      <c r="R563" s="185">
        <f>Q564</f>
        <v>380</v>
      </c>
      <c r="S563" s="185">
        <f>R563</f>
        <v>380</v>
      </c>
      <c r="T563" s="185">
        <f>S563</f>
        <v>380</v>
      </c>
      <c r="U563" s="185">
        <f>T563</f>
        <v>380</v>
      </c>
      <c r="V563" s="1008">
        <f>Q564</f>
        <v>380</v>
      </c>
      <c r="W563" s="185">
        <f>V564</f>
        <v>307</v>
      </c>
      <c r="X563" s="185">
        <f>W563</f>
        <v>307</v>
      </c>
      <c r="Y563" s="185">
        <f>X563</f>
        <v>307</v>
      </c>
      <c r="Z563" s="185">
        <f>Y563</f>
        <v>307</v>
      </c>
      <c r="AA563" s="1008">
        <f>V564</f>
        <v>307</v>
      </c>
      <c r="AB563" s="185">
        <f>AA564</f>
        <v>344</v>
      </c>
      <c r="AC563" s="185">
        <f>AB563</f>
        <v>344</v>
      </c>
      <c r="AD563" s="185">
        <f>AC563</f>
        <v>344</v>
      </c>
      <c r="AE563" s="185">
        <f>AD563</f>
        <v>344</v>
      </c>
      <c r="AF563" s="1008">
        <f>AA564</f>
        <v>344</v>
      </c>
      <c r="AG563" s="185">
        <f>AF564</f>
        <v>373</v>
      </c>
      <c r="AH563" s="185">
        <f>AG563</f>
        <v>373</v>
      </c>
      <c r="AI563" s="185">
        <f>AH563</f>
        <v>373</v>
      </c>
      <c r="AJ563" s="185">
        <f>AI563</f>
        <v>373</v>
      </c>
      <c r="AK563" s="1008">
        <f>AF564</f>
        <v>373</v>
      </c>
      <c r="AL563" s="185">
        <f>AK564</f>
        <v>494</v>
      </c>
      <c r="AM563" s="185">
        <f>AL563</f>
        <v>494</v>
      </c>
      <c r="AN563" s="185">
        <f>AM563</f>
        <v>494</v>
      </c>
      <c r="AO563" s="185">
        <f>AN563</f>
        <v>494</v>
      </c>
      <c r="AP563" s="1008">
        <f>AK564</f>
        <v>494</v>
      </c>
      <c r="AQ563" s="185">
        <f>AP564</f>
        <v>721</v>
      </c>
      <c r="AR563" s="185">
        <f>AQ563</f>
        <v>721</v>
      </c>
      <c r="AS563" s="185">
        <f>AR563</f>
        <v>721</v>
      </c>
      <c r="AT563" s="185">
        <f>AS563</f>
        <v>721</v>
      </c>
      <c r="AU563" s="1008">
        <f>AP564</f>
        <v>721</v>
      </c>
      <c r="AV563" s="185">
        <f>AU564</f>
        <v>761</v>
      </c>
      <c r="AW563" s="185">
        <f>AV563</f>
        <v>761</v>
      </c>
      <c r="AX563" s="185">
        <f>AW563</f>
        <v>761</v>
      </c>
      <c r="AY563" s="185">
        <f>AX563</f>
        <v>761</v>
      </c>
      <c r="AZ563" s="1008">
        <f>AU564</f>
        <v>761</v>
      </c>
      <c r="BA563" s="185">
        <f>AZ564</f>
        <v>799</v>
      </c>
      <c r="BB563" s="185">
        <f>BA563</f>
        <v>799</v>
      </c>
      <c r="BC563" s="185">
        <f>BB563</f>
        <v>799</v>
      </c>
      <c r="BD563" s="185">
        <f>BC563</f>
        <v>799</v>
      </c>
      <c r="BE563" s="1008">
        <f>AZ564</f>
        <v>799</v>
      </c>
      <c r="BF563" s="185">
        <f>BE564</f>
        <v>650</v>
      </c>
      <c r="BG563" s="185">
        <f>BF563</f>
        <v>650</v>
      </c>
      <c r="BH563" s="749">
        <f>BG563</f>
        <v>650</v>
      </c>
      <c r="BI563" s="199"/>
      <c r="BJ563" s="1009"/>
      <c r="BK563" s="199"/>
      <c r="BL563" s="199"/>
      <c r="BM563" s="199"/>
      <c r="BN563" s="199"/>
      <c r="BO563" s="1009"/>
      <c r="BP563" s="1009"/>
      <c r="BQ563" s="1009"/>
      <c r="BR563" s="1009"/>
      <c r="BS563" s="423"/>
    </row>
    <row r="564" spans="1:71" s="181" customFormat="1" ht="15" hidden="1" outlineLevel="1">
      <c r="A564" s="183" t="s">
        <v>228</v>
      </c>
      <c r="B564" s="480"/>
      <c r="C564" s="1008">
        <f t="shared" si="1110" ref="C564:AM564">C561+C563</f>
        <v>255</v>
      </c>
      <c r="D564" s="1008">
        <f t="shared" si="1110"/>
        <v>200</v>
      </c>
      <c r="E564" s="1008">
        <f t="shared" si="1110"/>
        <v>214</v>
      </c>
      <c r="F564" s="1008">
        <f t="shared" si="1110"/>
        <v>330</v>
      </c>
      <c r="G564" s="1008">
        <f t="shared" si="1110"/>
        <v>294</v>
      </c>
      <c r="H564" s="185">
        <f t="shared" si="1110"/>
        <v>260</v>
      </c>
      <c r="I564" s="185">
        <f t="shared" si="1110"/>
        <v>311</v>
      </c>
      <c r="J564" s="185">
        <f t="shared" si="1110"/>
        <v>367</v>
      </c>
      <c r="K564" s="185">
        <f t="shared" si="1110"/>
        <v>374</v>
      </c>
      <c r="L564" s="1008">
        <f t="shared" si="1110"/>
        <v>374</v>
      </c>
      <c r="M564" s="185">
        <f t="shared" si="1110"/>
        <v>308</v>
      </c>
      <c r="N564" s="185">
        <f t="shared" si="1110"/>
        <v>317</v>
      </c>
      <c r="O564" s="185">
        <f t="shared" si="1110"/>
        <v>344</v>
      </c>
      <c r="P564" s="185">
        <f t="shared" si="1110"/>
        <v>380</v>
      </c>
      <c r="Q564" s="1008">
        <f t="shared" si="1110"/>
        <v>380</v>
      </c>
      <c r="R564" s="185">
        <f t="shared" si="1110"/>
        <v>361</v>
      </c>
      <c r="S564" s="185">
        <f t="shared" si="1110"/>
        <v>265</v>
      </c>
      <c r="T564" s="185">
        <f t="shared" si="1110"/>
        <v>269</v>
      </c>
      <c r="U564" s="185">
        <f t="shared" si="1110"/>
        <v>307</v>
      </c>
      <c r="V564" s="1008">
        <f t="shared" si="1110"/>
        <v>307</v>
      </c>
      <c r="W564" s="185">
        <f t="shared" si="1110"/>
        <v>249</v>
      </c>
      <c r="X564" s="185">
        <f t="shared" si="1110"/>
        <v>328</v>
      </c>
      <c r="Y564" s="185">
        <f t="shared" si="1110"/>
        <v>379</v>
      </c>
      <c r="Z564" s="185">
        <f t="shared" si="1110"/>
        <v>344</v>
      </c>
      <c r="AA564" s="1008">
        <f t="shared" si="1110"/>
        <v>344</v>
      </c>
      <c r="AB564" s="185">
        <f t="shared" si="1110"/>
        <v>397</v>
      </c>
      <c r="AC564" s="185">
        <f t="shared" si="1110"/>
        <v>415</v>
      </c>
      <c r="AD564" s="185">
        <f t="shared" si="1110"/>
        <v>359</v>
      </c>
      <c r="AE564" s="185">
        <f t="shared" si="1110"/>
        <v>373</v>
      </c>
      <c r="AF564" s="1008">
        <f t="shared" si="1110"/>
        <v>373</v>
      </c>
      <c r="AG564" s="185">
        <f t="shared" si="1110"/>
        <v>357</v>
      </c>
      <c r="AH564" s="185">
        <f t="shared" si="1110"/>
        <v>416</v>
      </c>
      <c r="AI564" s="185">
        <f t="shared" si="1110"/>
        <v>508</v>
      </c>
      <c r="AJ564" s="185">
        <f t="shared" si="1110"/>
        <v>494</v>
      </c>
      <c r="AK564" s="1008">
        <f t="shared" si="1110"/>
        <v>494</v>
      </c>
      <c r="AL564" s="185">
        <f t="shared" si="1110"/>
        <v>544</v>
      </c>
      <c r="AM564" s="185">
        <f t="shared" si="1110"/>
        <v>623</v>
      </c>
      <c r="AN564" s="185">
        <f>AN561+AN563</f>
        <v>583</v>
      </c>
      <c r="AO564" s="185">
        <f t="shared" si="1111" ref="AO564:AQ564">AO561+AO563</f>
        <v>721</v>
      </c>
      <c r="AP564" s="1008">
        <f t="shared" si="1111"/>
        <v>721</v>
      </c>
      <c r="AQ564" s="185">
        <f t="shared" si="1111"/>
        <v>663</v>
      </c>
      <c r="AR564" s="185">
        <f t="shared" si="1112" ref="AR564:AW564">AR561+AR563</f>
        <v>689</v>
      </c>
      <c r="AS564" s="185">
        <f t="shared" si="1112"/>
        <v>818</v>
      </c>
      <c r="AT564" s="185">
        <f t="shared" si="1112"/>
        <v>761</v>
      </c>
      <c r="AU564" s="1008">
        <f t="shared" si="1112"/>
        <v>761</v>
      </c>
      <c r="AV564" s="185">
        <f t="shared" si="1112"/>
        <v>752</v>
      </c>
      <c r="AW564" s="185">
        <f t="shared" si="1112"/>
        <v>710</v>
      </c>
      <c r="AX564" s="185">
        <f t="shared" si="1113" ref="AX564:BC564">AX561+AX563</f>
        <v>773</v>
      </c>
      <c r="AY564" s="185">
        <f t="shared" si="1113"/>
        <v>799</v>
      </c>
      <c r="AZ564" s="1008">
        <f t="shared" si="1113"/>
        <v>799</v>
      </c>
      <c r="BA564" s="185">
        <f t="shared" si="1113"/>
        <v>767</v>
      </c>
      <c r="BB564" s="185">
        <f t="shared" si="1113"/>
        <v>605</v>
      </c>
      <c r="BC564" s="185">
        <f t="shared" si="1113"/>
        <v>593</v>
      </c>
      <c r="BD564" s="185">
        <f>BD561+BD563</f>
        <v>650</v>
      </c>
      <c r="BE564" s="1008">
        <f>BE561+BE563</f>
        <v>650</v>
      </c>
      <c r="BF564" s="185">
        <f>BF561+BF563</f>
        <v>667</v>
      </c>
      <c r="BG564" s="185">
        <f>BG561+BG563</f>
        <v>729</v>
      </c>
      <c r="BH564" s="749">
        <f>BH561+BH563</f>
        <v>772</v>
      </c>
      <c r="BI564" s="199"/>
      <c r="BJ564" s="1009"/>
      <c r="BK564" s="199"/>
      <c r="BL564" s="199"/>
      <c r="BM564" s="199"/>
      <c r="BN564" s="199"/>
      <c r="BO564" s="1009"/>
      <c r="BP564" s="1009"/>
      <c r="BQ564" s="1009"/>
      <c r="BR564" s="1009"/>
      <c r="BS564" s="423"/>
    </row>
    <row r="565" spans="1:71" s="181" customFormat="1" ht="15" hidden="1" outlineLevel="1">
      <c r="A565" s="453"/>
      <c r="B565" s="480"/>
      <c r="C565" s="1009"/>
      <c r="D565" s="1009"/>
      <c r="E565" s="1009"/>
      <c r="F565" s="1009"/>
      <c r="G565" s="1009"/>
      <c r="H565" s="199"/>
      <c r="I565" s="199"/>
      <c r="J565" s="199"/>
      <c r="K565" s="199"/>
      <c r="L565" s="1009"/>
      <c r="M565" s="199"/>
      <c r="N565" s="199"/>
      <c r="O565" s="199"/>
      <c r="P565" s="199"/>
      <c r="Q565" s="1009"/>
      <c r="R565" s="199"/>
      <c r="S565" s="199"/>
      <c r="T565" s="199"/>
      <c r="U565" s="199"/>
      <c r="V565" s="1009"/>
      <c r="W565" s="199"/>
      <c r="X565" s="199"/>
      <c r="Y565" s="199"/>
      <c r="Z565" s="199"/>
      <c r="AA565" s="1009"/>
      <c r="AB565" s="199"/>
      <c r="AC565" s="199"/>
      <c r="AD565" s="199"/>
      <c r="AE565" s="199"/>
      <c r="AF565" s="1009"/>
      <c r="AG565" s="199"/>
      <c r="AH565" s="199"/>
      <c r="AI565" s="199"/>
      <c r="AJ565" s="199"/>
      <c r="AK565" s="1009"/>
      <c r="AL565" s="199"/>
      <c r="AM565" s="199"/>
      <c r="AN565" s="199"/>
      <c r="AO565" s="199"/>
      <c r="AP565" s="1009"/>
      <c r="AQ565" s="199"/>
      <c r="AR565" s="199"/>
      <c r="AS565" s="199"/>
      <c r="AT565" s="199"/>
      <c r="AU565" s="1009"/>
      <c r="AV565" s="199"/>
      <c r="AW565" s="199"/>
      <c r="AX565" s="199"/>
      <c r="AY565" s="199"/>
      <c r="AZ565" s="1009"/>
      <c r="BA565" s="199"/>
      <c r="BB565" s="199"/>
      <c r="BC565" s="199"/>
      <c r="BD565" s="199"/>
      <c r="BE565" s="1009"/>
      <c r="BF565" s="199"/>
      <c r="BG565" s="199"/>
      <c r="BH565" s="554"/>
      <c r="BI565" s="199"/>
      <c r="BJ565" s="1009"/>
      <c r="BK565" s="199"/>
      <c r="BL565" s="199"/>
      <c r="BM565" s="199"/>
      <c r="BN565" s="199"/>
      <c r="BO565" s="1009"/>
      <c r="BP565" s="1009"/>
      <c r="BQ565" s="1009"/>
      <c r="BR565" s="1009"/>
      <c r="BS565" s="423"/>
    </row>
    <row r="566" spans="1:71" s="24" customFormat="1" ht="15" hidden="1" outlineLevel="1">
      <c r="A566" s="64" t="s">
        <v>615</v>
      </c>
      <c r="B566" s="462"/>
      <c r="C566" s="1032">
        <v>385</v>
      </c>
      <c r="D566" s="1032">
        <v>397</v>
      </c>
      <c r="E566" s="1032">
        <v>382</v>
      </c>
      <c r="F566" s="1032">
        <v>375</v>
      </c>
      <c r="G566" s="1032">
        <v>355</v>
      </c>
      <c r="H566" s="924">
        <v>34</v>
      </c>
      <c r="I566" s="924">
        <v>183</v>
      </c>
      <c r="J566" s="924">
        <v>217</v>
      </c>
      <c r="K566" s="265">
        <f>L566</f>
        <v>365</v>
      </c>
      <c r="L566" s="1032">
        <v>365</v>
      </c>
      <c r="M566" s="924">
        <v>34</v>
      </c>
      <c r="N566" s="924">
        <v>183</v>
      </c>
      <c r="O566" s="924">
        <v>217</v>
      </c>
      <c r="P566" s="265">
        <f>Q566</f>
        <v>365</v>
      </c>
      <c r="Q566" s="1032">
        <v>365</v>
      </c>
      <c r="R566" s="924">
        <v>42</v>
      </c>
      <c r="S566" s="924">
        <v>180</v>
      </c>
      <c r="T566" s="924">
        <v>223</v>
      </c>
      <c r="U566" s="265">
        <f>V566</f>
        <v>358</v>
      </c>
      <c r="V566" s="1032">
        <v>358</v>
      </c>
      <c r="W566" s="924">
        <v>43</v>
      </c>
      <c r="X566" s="924">
        <v>178</v>
      </c>
      <c r="Y566" s="924">
        <v>217</v>
      </c>
      <c r="Z566" s="265">
        <f>AA566</f>
        <v>367</v>
      </c>
      <c r="AA566" s="1032">
        <v>367</v>
      </c>
      <c r="AB566" s="924">
        <v>39</v>
      </c>
      <c r="AC566" s="924">
        <v>175</v>
      </c>
      <c r="AD566" s="924">
        <v>225</v>
      </c>
      <c r="AE566" s="265">
        <f>AF566</f>
        <v>347</v>
      </c>
      <c r="AF566" s="1032">
        <v>347</v>
      </c>
      <c r="AG566" s="924">
        <v>50</v>
      </c>
      <c r="AH566" s="924">
        <v>171</v>
      </c>
      <c r="AI566" s="924">
        <v>231</v>
      </c>
      <c r="AJ566" s="265">
        <f>AK566</f>
        <v>338</v>
      </c>
      <c r="AK566" s="1032">
        <v>338</v>
      </c>
      <c r="AL566" s="924">
        <v>60</v>
      </c>
      <c r="AM566" s="924">
        <v>166</v>
      </c>
      <c r="AN566" s="924">
        <v>226</v>
      </c>
      <c r="AO566" s="265">
        <f>AP566</f>
        <v>339</v>
      </c>
      <c r="AP566" s="1032">
        <v>339</v>
      </c>
      <c r="AQ566" s="924">
        <v>59</v>
      </c>
      <c r="AR566" s="924">
        <v>163</v>
      </c>
      <c r="AS566" s="924">
        <v>222</v>
      </c>
      <c r="AT566" s="265">
        <f>AU566</f>
        <v>337</v>
      </c>
      <c r="AU566" s="1032">
        <v>337</v>
      </c>
      <c r="AV566" s="924">
        <v>59</v>
      </c>
      <c r="AW566" s="924">
        <v>174</v>
      </c>
      <c r="AX566" s="924">
        <v>234</v>
      </c>
      <c r="AY566" s="265">
        <f>AZ566</f>
        <v>349</v>
      </c>
      <c r="AZ566" s="1032">
        <v>349</v>
      </c>
      <c r="BA566" s="924">
        <v>60</v>
      </c>
      <c r="BB566" s="924">
        <v>175</v>
      </c>
      <c r="BC566" s="924">
        <v>234</v>
      </c>
      <c r="BD566" s="265">
        <f>BE566</f>
        <v>370</v>
      </c>
      <c r="BE566" s="1032">
        <v>370</v>
      </c>
      <c r="BF566" s="924">
        <v>60</v>
      </c>
      <c r="BG566" s="924">
        <v>195</v>
      </c>
      <c r="BH566" s="925">
        <v>255</v>
      </c>
      <c r="BI566" s="210"/>
      <c r="BJ566" s="994"/>
      <c r="BK566" s="210"/>
      <c r="BL566" s="210"/>
      <c r="BM566" s="210"/>
      <c r="BN566" s="210"/>
      <c r="BO566" s="994"/>
      <c r="BP566" s="994"/>
      <c r="BQ566" s="994"/>
      <c r="BR566" s="994"/>
      <c r="BS566" s="833"/>
    </row>
    <row r="567" spans="1:71" s="24" customFormat="1" ht="15" hidden="1" outlineLevel="1">
      <c r="A567" s="64" t="s">
        <v>616</v>
      </c>
      <c r="B567" s="462"/>
      <c r="C567" s="1032">
        <v>876</v>
      </c>
      <c r="D567" s="1032">
        <v>784</v>
      </c>
      <c r="E567" s="1032">
        <v>218</v>
      </c>
      <c r="F567" s="1032">
        <v>188</v>
      </c>
      <c r="G567" s="1032">
        <v>1057</v>
      </c>
      <c r="H567" s="924">
        <v>93</v>
      </c>
      <c r="I567" s="924">
        <v>727</v>
      </c>
      <c r="J567" s="924">
        <v>785</v>
      </c>
      <c r="K567" s="265">
        <f>L567</f>
        <v>1147</v>
      </c>
      <c r="L567" s="1032">
        <v>1147</v>
      </c>
      <c r="M567" s="924">
        <v>126</v>
      </c>
      <c r="N567" s="924">
        <v>597</v>
      </c>
      <c r="O567" s="924">
        <v>882</v>
      </c>
      <c r="P567" s="265">
        <f>Q567</f>
        <v>1207</v>
      </c>
      <c r="Q567" s="1032">
        <v>1207</v>
      </c>
      <c r="R567" s="924">
        <v>63</v>
      </c>
      <c r="S567" s="924">
        <v>467</v>
      </c>
      <c r="T567" s="924">
        <v>648</v>
      </c>
      <c r="U567" s="265">
        <f>V567</f>
        <v>892</v>
      </c>
      <c r="V567" s="1032">
        <v>892</v>
      </c>
      <c r="W567" s="924">
        <v>2</v>
      </c>
      <c r="X567" s="924">
        <v>323</v>
      </c>
      <c r="Y567" s="924">
        <v>467</v>
      </c>
      <c r="Z567" s="265">
        <f>AA567</f>
        <v>514</v>
      </c>
      <c r="AA567" s="1032">
        <v>514</v>
      </c>
      <c r="AB567" s="924">
        <v>56</v>
      </c>
      <c r="AC567" s="924">
        <v>238</v>
      </c>
      <c r="AD567" s="924">
        <v>244</v>
      </c>
      <c r="AE567" s="265">
        <f>AF567</f>
        <v>408</v>
      </c>
      <c r="AF567" s="1032">
        <v>408</v>
      </c>
      <c r="AG567" s="924">
        <v>5</v>
      </c>
      <c r="AH567" s="924">
        <v>325</v>
      </c>
      <c r="AI567" s="924">
        <v>367</v>
      </c>
      <c r="AJ567" s="265">
        <f>AK567</f>
        <v>428</v>
      </c>
      <c r="AK567" s="1032">
        <v>428</v>
      </c>
      <c r="AL567" s="924">
        <v>15</v>
      </c>
      <c r="AM567" s="924">
        <v>17</v>
      </c>
      <c r="AN567" s="924">
        <v>413</v>
      </c>
      <c r="AO567" s="265">
        <f>AP567</f>
        <v>578</v>
      </c>
      <c r="AP567" s="1032">
        <v>578</v>
      </c>
      <c r="AQ567" s="924">
        <v>58</v>
      </c>
      <c r="AR567" s="924">
        <v>342</v>
      </c>
      <c r="AS567" s="924">
        <v>543</v>
      </c>
      <c r="AT567" s="265">
        <f>AU567</f>
        <v>707</v>
      </c>
      <c r="AU567" s="1032">
        <v>707</v>
      </c>
      <c r="AV567" s="924">
        <v>10</v>
      </c>
      <c r="AW567" s="924">
        <v>552</v>
      </c>
      <c r="AX567" s="924">
        <v>663</v>
      </c>
      <c r="AY567" s="265">
        <f>AZ567</f>
        <v>817</v>
      </c>
      <c r="AZ567" s="1032">
        <v>817</v>
      </c>
      <c r="BA567" s="924">
        <v>-16</v>
      </c>
      <c r="BB567" s="924">
        <v>139</v>
      </c>
      <c r="BC567" s="924">
        <v>152</v>
      </c>
      <c r="BD567" s="265">
        <f>BE567</f>
        <v>201</v>
      </c>
      <c r="BE567" s="1032">
        <v>201</v>
      </c>
      <c r="BF567" s="924">
        <v>24</v>
      </c>
      <c r="BG567" s="924">
        <v>855</v>
      </c>
      <c r="BH567" s="925">
        <v>947</v>
      </c>
      <c r="BI567" s="210"/>
      <c r="BJ567" s="994"/>
      <c r="BK567" s="210"/>
      <c r="BL567" s="210"/>
      <c r="BM567" s="210"/>
      <c r="BN567" s="210"/>
      <c r="BO567" s="994"/>
      <c r="BP567" s="994"/>
      <c r="BQ567" s="994"/>
      <c r="BR567" s="994"/>
      <c r="BS567" s="833"/>
    </row>
    <row r="568" spans="1:71" s="181" customFormat="1" ht="15" collapsed="1">
      <c r="A568" s="453"/>
      <c r="B568" s="480"/>
      <c r="C568" s="1043"/>
      <c r="D568" s="1043"/>
      <c r="E568" s="1043"/>
      <c r="F568" s="1043"/>
      <c r="G568" s="1043"/>
      <c r="H568" s="860"/>
      <c r="I568" s="860"/>
      <c r="J568" s="860"/>
      <c r="K568" s="860"/>
      <c r="L568" s="1043"/>
      <c r="M568" s="860"/>
      <c r="N568" s="860"/>
      <c r="O568" s="860"/>
      <c r="P568" s="860"/>
      <c r="Q568" s="1043"/>
      <c r="R568" s="860"/>
      <c r="S568" s="860"/>
      <c r="T568" s="860"/>
      <c r="U568" s="860"/>
      <c r="V568" s="1043"/>
      <c r="W568" s="860"/>
      <c r="X568" s="860"/>
      <c r="Y568" s="860"/>
      <c r="Z568" s="860"/>
      <c r="AA568" s="1043"/>
      <c r="AB568" s="860"/>
      <c r="AC568" s="860"/>
      <c r="AD568" s="860"/>
      <c r="AE568" s="860"/>
      <c r="AF568" s="1043"/>
      <c r="AG568" s="860"/>
      <c r="AH568" s="860"/>
      <c r="AI568" s="860"/>
      <c r="AJ568" s="860"/>
      <c r="AK568" s="1043"/>
      <c r="AL568" s="860"/>
      <c r="AM568" s="860"/>
      <c r="AN568" s="860"/>
      <c r="AO568" s="860"/>
      <c r="AP568" s="1043"/>
      <c r="AQ568" s="860"/>
      <c r="AR568" s="860"/>
      <c r="AS568" s="860"/>
      <c r="AT568" s="860"/>
      <c r="AU568" s="1043"/>
      <c r="AV568" s="860"/>
      <c r="AW568" s="860"/>
      <c r="AX568" s="860"/>
      <c r="AY568" s="860"/>
      <c r="AZ568" s="1043"/>
      <c r="BA568" s="860"/>
      <c r="BB568" s="860"/>
      <c r="BC568" s="860"/>
      <c r="BD568" s="860"/>
      <c r="BE568" s="1043"/>
      <c r="BF568" s="860"/>
      <c r="BG568" s="860"/>
      <c r="BH568" s="861"/>
      <c r="BI568" s="860"/>
      <c r="BJ568" s="1043"/>
      <c r="BK568" s="860"/>
      <c r="BL568" s="860"/>
      <c r="BM568" s="860"/>
      <c r="BN568" s="860"/>
      <c r="BO568" s="1043"/>
      <c r="BP568" s="1043"/>
      <c r="BQ568" s="1043"/>
      <c r="BR568" s="1043"/>
      <c r="BS568" s="423"/>
    </row>
    <row r="569" spans="1:71" s="181" customFormat="1" ht="15">
      <c r="A569" s="826" t="s">
        <v>229</v>
      </c>
      <c r="B569" s="826"/>
      <c r="C569" s="847"/>
      <c r="D569" s="847"/>
      <c r="E569" s="847"/>
      <c r="F569" s="847"/>
      <c r="G569" s="847"/>
      <c r="H569" s="847"/>
      <c r="I569" s="847"/>
      <c r="J569" s="847"/>
      <c r="K569" s="847"/>
      <c r="L569" s="847"/>
      <c r="M569" s="847"/>
      <c r="N569" s="847"/>
      <c r="O569" s="847"/>
      <c r="P569" s="847"/>
      <c r="Q569" s="847"/>
      <c r="R569" s="847"/>
      <c r="S569" s="847"/>
      <c r="T569" s="847"/>
      <c r="U569" s="847"/>
      <c r="V569" s="847"/>
      <c r="W569" s="847"/>
      <c r="X569" s="847"/>
      <c r="Y569" s="847"/>
      <c r="Z569" s="847"/>
      <c r="AA569" s="847"/>
      <c r="AB569" s="847"/>
      <c r="AC569" s="847"/>
      <c r="AD569" s="847"/>
      <c r="AE569" s="847"/>
      <c r="AF569" s="847"/>
      <c r="AG569" s="847"/>
      <c r="AH569" s="847"/>
      <c r="AI569" s="847"/>
      <c r="AJ569" s="847"/>
      <c r="AK569" s="847"/>
      <c r="AL569" s="847"/>
      <c r="AM569" s="847"/>
      <c r="AN569" s="847"/>
      <c r="AO569" s="847"/>
      <c r="AP569" s="847"/>
      <c r="AQ569" s="847"/>
      <c r="AR569" s="847"/>
      <c r="AS569" s="847"/>
      <c r="AT569" s="847"/>
      <c r="AU569" s="847"/>
      <c r="AV569" s="847"/>
      <c r="AW569" s="847"/>
      <c r="AX569" s="847"/>
      <c r="AY569" s="847"/>
      <c r="AZ569" s="847"/>
      <c r="BA569" s="847"/>
      <c r="BB569" s="847"/>
      <c r="BC569" s="847"/>
      <c r="BD569" s="847"/>
      <c r="BE569" s="847"/>
      <c r="BF569" s="847"/>
      <c r="BG569" s="847"/>
      <c r="BH569" s="848"/>
      <c r="BI569" s="847"/>
      <c r="BJ569" s="847"/>
      <c r="BK569" s="847"/>
      <c r="BL569" s="847"/>
      <c r="BM569" s="847"/>
      <c r="BN569" s="847"/>
      <c r="BO569" s="847"/>
      <c r="BP569" s="847"/>
      <c r="BQ569" s="847"/>
      <c r="BR569" s="847"/>
      <c r="BS569" s="423"/>
    </row>
    <row r="570" spans="1:71" s="65" customFormat="1" ht="15">
      <c r="A570" s="67" t="str">
        <f t="shared" si="1114" ref="A570:A582">A517</f>
        <v>CFO</v>
      </c>
      <c r="B570" s="480"/>
      <c r="C570" s="1009"/>
      <c r="D570" s="1009"/>
      <c r="E570" s="1009"/>
      <c r="F570" s="1009"/>
      <c r="G570" s="1009"/>
      <c r="H570" s="199"/>
      <c r="I570" s="199"/>
      <c r="J570" s="199"/>
      <c r="K570" s="199"/>
      <c r="L570" s="1009"/>
      <c r="M570" s="199"/>
      <c r="N570" s="199"/>
      <c r="O570" s="199"/>
      <c r="P570" s="199"/>
      <c r="Q570" s="1009"/>
      <c r="R570" s="199"/>
      <c r="S570" s="199"/>
      <c r="T570" s="199"/>
      <c r="U570" s="199"/>
      <c r="V570" s="1009"/>
      <c r="W570" s="199"/>
      <c r="X570" s="199"/>
      <c r="Y570" s="199"/>
      <c r="Z570" s="199"/>
      <c r="AA570" s="1009"/>
      <c r="AB570" s="199"/>
      <c r="AC570" s="199"/>
      <c r="AD570" s="199"/>
      <c r="AE570" s="199"/>
      <c r="AF570" s="1009"/>
      <c r="AG570" s="199"/>
      <c r="AH570" s="199"/>
      <c r="AI570" s="199"/>
      <c r="AJ570" s="199"/>
      <c r="AK570" s="1009"/>
      <c r="AL570" s="199"/>
      <c r="AM570" s="199"/>
      <c r="AN570" s="199"/>
      <c r="AO570" s="199"/>
      <c r="AP570" s="1009"/>
      <c r="AQ570" s="199"/>
      <c r="AR570" s="199"/>
      <c r="AS570" s="199"/>
      <c r="AT570" s="199"/>
      <c r="AU570" s="1009"/>
      <c r="AV570" s="199"/>
      <c r="AW570" s="199"/>
      <c r="AX570" s="199"/>
      <c r="AY570" s="199"/>
      <c r="AZ570" s="1009"/>
      <c r="BA570" s="199"/>
      <c r="BB570" s="199"/>
      <c r="BC570" s="199"/>
      <c r="BD570" s="199"/>
      <c r="BE570" s="1009"/>
      <c r="BF570" s="199"/>
      <c r="BG570" s="199"/>
      <c r="BH570" s="554"/>
      <c r="BI570" s="199"/>
      <c r="BJ570" s="1009"/>
      <c r="BK570" s="199"/>
      <c r="BL570" s="199"/>
      <c r="BM570" s="199"/>
      <c r="BN570" s="199"/>
      <c r="BO570" s="1009"/>
      <c r="BP570" s="1009"/>
      <c r="BQ570" s="1009"/>
      <c r="BR570" s="1009"/>
      <c r="BS570" s="271"/>
    </row>
    <row r="571" spans="1:71" s="61" customFormat="1" ht="15">
      <c r="A571" s="66" t="str">
        <f t="shared" si="1114"/>
        <v>Net income</v>
      </c>
      <c r="B571" s="462"/>
      <c r="C571" s="994">
        <f t="shared" si="1115" ref="C571:H576">C518</f>
        <v>3622</v>
      </c>
      <c r="D571" s="994">
        <f t="shared" si="1115"/>
        <v>3216</v>
      </c>
      <c r="E571" s="994">
        <f t="shared" si="1115"/>
        <v>1426</v>
      </c>
      <c r="F571" s="994">
        <f t="shared" si="1115"/>
        <v>2473</v>
      </c>
      <c r="G571" s="994">
        <f t="shared" si="1115"/>
        <v>3673</v>
      </c>
      <c r="H571" s="210">
        <f t="shared" si="1115"/>
        <v>1052</v>
      </c>
      <c r="I571" s="210">
        <f t="shared" si="1116" ref="I571:K576">I518-H518</f>
        <v>683</v>
      </c>
      <c r="J571" s="210">
        <f t="shared" si="1116"/>
        <v>919</v>
      </c>
      <c r="K571" s="210">
        <f t="shared" si="1116"/>
        <v>1038</v>
      </c>
      <c r="L571" s="994">
        <f t="shared" si="1117" ref="L571:M576">L518</f>
        <v>3692</v>
      </c>
      <c r="M571" s="210">
        <f t="shared" si="1117"/>
        <v>833</v>
      </c>
      <c r="N571" s="210">
        <f t="shared" si="1118" ref="N571:P576">N518-M518</f>
        <v>812</v>
      </c>
      <c r="O571" s="210">
        <f t="shared" si="1118"/>
        <v>928</v>
      </c>
      <c r="P571" s="210">
        <f t="shared" si="1118"/>
        <v>866</v>
      </c>
      <c r="Q571" s="994">
        <f t="shared" si="1119" ref="Q571:R576">Q518</f>
        <v>3439</v>
      </c>
      <c r="R571" s="210">
        <f t="shared" si="1119"/>
        <v>691</v>
      </c>
      <c r="S571" s="210">
        <f t="shared" si="1120" ref="S571:U576">S518-R518</f>
        <v>664</v>
      </c>
      <c r="T571" s="210">
        <f t="shared" si="1120"/>
        <v>716</v>
      </c>
      <c r="U571" s="210">
        <f t="shared" si="1120"/>
        <v>943</v>
      </c>
      <c r="V571" s="994">
        <f t="shared" si="1121" ref="V571:W576">V518</f>
        <v>3014</v>
      </c>
      <c r="W571" s="210">
        <f t="shared" si="1121"/>
        <v>617</v>
      </c>
      <c r="X571" s="210">
        <f t="shared" si="1122" ref="X571:Z576">X518-W518</f>
        <v>595</v>
      </c>
      <c r="Y571" s="210">
        <f t="shared" si="1122"/>
        <v>293</v>
      </c>
      <c r="Z571" s="265">
        <f t="shared" si="1122"/>
        <v>551</v>
      </c>
      <c r="AA571" s="993">
        <f t="shared" si="1123" ref="AA571:AB576">AA518</f>
        <v>2056</v>
      </c>
      <c r="AB571" s="210">
        <f t="shared" si="1123"/>
        <v>669</v>
      </c>
      <c r="AC571" s="210">
        <f t="shared" si="1124" ref="AC571:AE576">AC518-AB518</f>
        <v>524</v>
      </c>
      <c r="AD571" s="210">
        <f t="shared" si="1124"/>
        <v>709</v>
      </c>
      <c r="AE571" s="265">
        <f t="shared" si="1124"/>
        <v>621</v>
      </c>
      <c r="AF571" s="993">
        <f t="shared" si="1125" ref="AF571:AG576">AF518</f>
        <v>2523</v>
      </c>
      <c r="AG571" s="210">
        <f t="shared" si="1125"/>
        <v>796</v>
      </c>
      <c r="AH571" s="210">
        <f t="shared" si="1126" ref="AH571:AJ576">AH518-AG518</f>
        <v>557</v>
      </c>
      <c r="AI571" s="210">
        <f t="shared" si="1126"/>
        <v>396</v>
      </c>
      <c r="AJ571" s="265">
        <f t="shared" si="1126"/>
        <v>873</v>
      </c>
      <c r="AK571" s="993">
        <f t="shared" si="1127" ref="AK571:AL576">AK518</f>
        <v>2622</v>
      </c>
      <c r="AL571" s="210">
        <f t="shared" si="1127"/>
        <v>600</v>
      </c>
      <c r="AM571" s="210">
        <f t="shared" si="1128" ref="AM571:AO576">AM518-AL518</f>
        <v>-40</v>
      </c>
      <c r="AN571" s="210">
        <f t="shared" si="1128"/>
        <v>827</v>
      </c>
      <c r="AO571" s="265">
        <f t="shared" si="1128"/>
        <v>1310</v>
      </c>
      <c r="AP571" s="993">
        <f t="shared" si="1129" ref="AP571:AQ571">AP518</f>
        <v>2697</v>
      </c>
      <c r="AQ571" s="210">
        <f t="shared" si="1129"/>
        <v>733</v>
      </c>
      <c r="AR571" s="210">
        <f t="shared" si="1130" ref="AR571:AT576">AR518-AQ518</f>
        <v>934</v>
      </c>
      <c r="AS571" s="210">
        <f t="shared" si="1130"/>
        <v>662</v>
      </c>
      <c r="AT571" s="265">
        <f t="shared" si="1130"/>
        <v>1333</v>
      </c>
      <c r="AU571" s="993">
        <f t="shared" si="1131" ref="AU571:AV576">AU518</f>
        <v>3662</v>
      </c>
      <c r="AV571" s="210">
        <f t="shared" si="1131"/>
        <v>1018</v>
      </c>
      <c r="AW571" s="210">
        <f t="shared" si="1132" ref="AW571:AY576">AW518-AV518</f>
        <v>551</v>
      </c>
      <c r="AX571" s="210">
        <f t="shared" si="1132"/>
        <v>454</v>
      </c>
      <c r="AY571" s="265">
        <f t="shared" si="1132"/>
        <v>819</v>
      </c>
      <c r="AZ571" s="993">
        <f t="shared" si="1133" ref="AZ571:BA576">AZ518</f>
        <v>2842</v>
      </c>
      <c r="BA571" s="210">
        <f t="shared" si="1133"/>
        <v>975</v>
      </c>
      <c r="BB571" s="210">
        <f t="shared" si="1134" ref="BB571:BC576">BB518-BA518</f>
        <v>-14</v>
      </c>
      <c r="BC571" s="210">
        <f t="shared" si="1134"/>
        <v>404</v>
      </c>
      <c r="BD571" s="265">
        <f t="shared" si="1135" ref="BD571:BD576">BD518-BC518</f>
        <v>1626</v>
      </c>
      <c r="BE571" s="993">
        <f t="shared" si="1136" ref="BE571:BE576">BE518</f>
        <v>2991</v>
      </c>
      <c r="BF571" s="210">
        <f t="shared" si="1137" ref="BF571:BF576">BF518</f>
        <v>1123</v>
      </c>
      <c r="BG571" s="210">
        <f t="shared" si="1138" ref="BG571:BG576">BG518-BF518</f>
        <v>534</v>
      </c>
      <c r="BH571" s="553">
        <f t="shared" si="1139" ref="BH571:BH576">BH518-BG518</f>
        <v>1260</v>
      </c>
      <c r="BI571" s="210">
        <f>BI405</f>
        <v>1449.3530970300685</v>
      </c>
      <c r="BJ571" s="994">
        <f t="shared" si="1140" ref="BJ571:BJ576">SUM(BF571,BG571,BH571,BI571)</f>
        <v>4366.353097030069</v>
      </c>
      <c r="BK571" s="210">
        <f>BK405</f>
        <v>1301.7626772224119</v>
      </c>
      <c r="BL571" s="210">
        <f>BL405</f>
        <v>884.09699517122965</v>
      </c>
      <c r="BM571" s="210">
        <f>BM405</f>
        <v>1078.1874870455722</v>
      </c>
      <c r="BN571" s="210">
        <f>BN405</f>
        <v>1521.8357756470418</v>
      </c>
      <c r="BO571" s="994">
        <f t="shared" si="1141" ref="BO571:BO576">SUM(BK571,BL571,BM571,BN571)</f>
        <v>4785.8829350862561</v>
      </c>
      <c r="BP571" s="994">
        <f>BP405</f>
        <v>5252.8451105356808</v>
      </c>
      <c r="BQ571" s="994">
        <f>BQ405</f>
        <v>5642.7033276620832</v>
      </c>
      <c r="BR571" s="994">
        <f>BR405</f>
        <v>5145.8457754215715</v>
      </c>
      <c r="BS571" s="272"/>
    </row>
    <row r="572" spans="1:71" s="61" customFormat="1" ht="15">
      <c r="A572" s="66" t="str">
        <f t="shared" si="1114"/>
        <v>Net realized investment gains</v>
      </c>
      <c r="B572" s="462"/>
      <c r="C572" s="994">
        <f t="shared" si="1115"/>
        <v>-17</v>
      </c>
      <c r="D572" s="994">
        <f t="shared" si="1115"/>
        <v>-264</v>
      </c>
      <c r="E572" s="994">
        <f t="shared" si="1115"/>
        <v>-55</v>
      </c>
      <c r="F572" s="994">
        <f t="shared" si="1115"/>
        <v>-51</v>
      </c>
      <c r="G572" s="994">
        <f t="shared" si="1115"/>
        <v>-166</v>
      </c>
      <c r="H572" s="210">
        <f t="shared" si="1115"/>
        <v>-1</v>
      </c>
      <c r="I572" s="210">
        <f t="shared" si="1116"/>
        <v>-16</v>
      </c>
      <c r="J572" s="210">
        <f t="shared" si="1116"/>
        <v>-40</v>
      </c>
      <c r="K572" s="210">
        <f t="shared" si="1116"/>
        <v>-22</v>
      </c>
      <c r="L572" s="994">
        <f t="shared" si="1117"/>
        <v>-79</v>
      </c>
      <c r="M572" s="210">
        <f t="shared" si="1117"/>
        <v>-10</v>
      </c>
      <c r="N572" s="210">
        <f t="shared" si="1118"/>
        <v>-10</v>
      </c>
      <c r="O572" s="210">
        <f t="shared" si="1118"/>
        <v>-15</v>
      </c>
      <c r="P572" s="210">
        <f t="shared" si="1118"/>
        <v>32</v>
      </c>
      <c r="Q572" s="994">
        <f t="shared" si="1119"/>
        <v>-3</v>
      </c>
      <c r="R572" s="210">
        <f t="shared" si="1119"/>
        <v>9</v>
      </c>
      <c r="S572" s="210">
        <f t="shared" si="1120"/>
        <v>-19</v>
      </c>
      <c r="T572" s="210">
        <f t="shared" si="1120"/>
        <v>-23</v>
      </c>
      <c r="U572" s="210">
        <f t="shared" si="1120"/>
        <v>-35</v>
      </c>
      <c r="V572" s="994">
        <f t="shared" si="1121"/>
        <v>-68</v>
      </c>
      <c r="W572" s="210">
        <f t="shared" si="1121"/>
        <v>-5</v>
      </c>
      <c r="X572" s="210">
        <f t="shared" si="1122"/>
        <v>-80</v>
      </c>
      <c r="Y572" s="210">
        <f t="shared" si="1122"/>
        <v>-61</v>
      </c>
      <c r="Z572" s="265">
        <f t="shared" si="1122"/>
        <v>-70</v>
      </c>
      <c r="AA572" s="993">
        <f t="shared" si="1123"/>
        <v>-216</v>
      </c>
      <c r="AB572" s="210">
        <f t="shared" si="1123"/>
        <v>11</v>
      </c>
      <c r="AC572" s="210">
        <f t="shared" si="1124"/>
        <v>-36</v>
      </c>
      <c r="AD572" s="210">
        <f t="shared" si="1124"/>
        <v>-29</v>
      </c>
      <c r="AE572" s="265">
        <f t="shared" si="1124"/>
        <v>-60</v>
      </c>
      <c r="AF572" s="993">
        <f t="shared" si="1125"/>
        <v>-114</v>
      </c>
      <c r="AG572" s="210">
        <f t="shared" si="1125"/>
        <v>-53</v>
      </c>
      <c r="AH572" s="210">
        <f t="shared" si="1126"/>
        <v>-25</v>
      </c>
      <c r="AI572" s="210">
        <f t="shared" si="1126"/>
        <v>-23</v>
      </c>
      <c r="AJ572" s="265">
        <f t="shared" si="1126"/>
        <v>-12</v>
      </c>
      <c r="AK572" s="993">
        <f t="shared" si="1127"/>
        <v>-113</v>
      </c>
      <c r="AL572" s="210">
        <f t="shared" si="1127"/>
        <v>98</v>
      </c>
      <c r="AM572" s="210">
        <f t="shared" si="1128"/>
        <v>-13</v>
      </c>
      <c r="AN572" s="210">
        <f t="shared" si="1128"/>
        <v>-37</v>
      </c>
      <c r="AO572" s="265">
        <f t="shared" si="1128"/>
        <v>-50</v>
      </c>
      <c r="AP572" s="993">
        <f t="shared" si="1142" ref="AP572:AQ572">AP519</f>
        <v>-2</v>
      </c>
      <c r="AQ572" s="210">
        <f t="shared" si="1142"/>
        <v>-44</v>
      </c>
      <c r="AR572" s="210">
        <f t="shared" si="1130"/>
        <v>-61</v>
      </c>
      <c r="AS572" s="210">
        <f t="shared" si="1130"/>
        <v>-8</v>
      </c>
      <c r="AT572" s="265">
        <f t="shared" si="1130"/>
        <v>-58</v>
      </c>
      <c r="AU572" s="993">
        <f t="shared" si="1131"/>
        <v>-171</v>
      </c>
      <c r="AV572" s="210">
        <f t="shared" si="1131"/>
        <v>23</v>
      </c>
      <c r="AW572" s="210">
        <f t="shared" si="1132"/>
        <v>95</v>
      </c>
      <c r="AX572" s="210">
        <f t="shared" si="1132"/>
        <v>93</v>
      </c>
      <c r="AY572" s="265">
        <f t="shared" si="1132"/>
        <v>-7</v>
      </c>
      <c r="AZ572" s="993">
        <f t="shared" si="1133"/>
        <v>204</v>
      </c>
      <c r="BA572" s="210">
        <f t="shared" si="1133"/>
        <v>-6</v>
      </c>
      <c r="BB572" s="210">
        <f t="shared" si="1134"/>
        <v>35</v>
      </c>
      <c r="BC572" s="210">
        <f t="shared" si="1134"/>
        <v>65</v>
      </c>
      <c r="BD572" s="265">
        <f t="shared" si="1135"/>
        <v>11</v>
      </c>
      <c r="BE572" s="993">
        <f t="shared" si="1136"/>
        <v>105</v>
      </c>
      <c r="BF572" s="210">
        <f t="shared" si="1137"/>
        <v>-35</v>
      </c>
      <c r="BG572" s="210">
        <f t="shared" si="1138"/>
        <v>65</v>
      </c>
      <c r="BH572" s="553">
        <f t="shared" si="1139"/>
        <v>-55</v>
      </c>
      <c r="BI572" s="210"/>
      <c r="BJ572" s="994">
        <f t="shared" si="1140"/>
        <v>-25</v>
      </c>
      <c r="BK572" s="210"/>
      <c r="BL572" s="210"/>
      <c r="BM572" s="210"/>
      <c r="BN572" s="210"/>
      <c r="BO572" s="994">
        <f t="shared" si="1141"/>
        <v>0</v>
      </c>
      <c r="BP572" s="994"/>
      <c r="BQ572" s="994"/>
      <c r="BR572" s="994"/>
      <c r="BS572" s="272"/>
    </row>
    <row r="573" spans="1:71" s="61" customFormat="1" ht="15">
      <c r="A573" s="66" t="str">
        <f t="shared" si="1114"/>
        <v>Depreciation and amortization</v>
      </c>
      <c r="B573" s="462"/>
      <c r="C573" s="994">
        <f t="shared" si="1115"/>
        <v>797</v>
      </c>
      <c r="D573" s="994">
        <f t="shared" si="1115"/>
        <v>812</v>
      </c>
      <c r="E573" s="994">
        <f t="shared" si="1115"/>
        <v>802</v>
      </c>
      <c r="F573" s="994">
        <f t="shared" si="1115"/>
        <v>827</v>
      </c>
      <c r="G573" s="994">
        <f t="shared" si="1115"/>
        <v>867</v>
      </c>
      <c r="H573" s="210">
        <f t="shared" si="1115"/>
        <v>227</v>
      </c>
      <c r="I573" s="210">
        <f t="shared" si="1116"/>
        <v>215</v>
      </c>
      <c r="J573" s="210">
        <f t="shared" si="1116"/>
        <v>211</v>
      </c>
      <c r="K573" s="210">
        <f t="shared" si="1116"/>
        <v>211</v>
      </c>
      <c r="L573" s="994">
        <f t="shared" si="1117"/>
        <v>864</v>
      </c>
      <c r="M573" s="210">
        <f t="shared" si="1117"/>
        <v>225</v>
      </c>
      <c r="N573" s="210">
        <f t="shared" si="1118"/>
        <v>204</v>
      </c>
      <c r="O573" s="210">
        <f t="shared" si="1118"/>
        <v>191</v>
      </c>
      <c r="P573" s="210">
        <f t="shared" si="1118"/>
        <v>198</v>
      </c>
      <c r="Q573" s="994">
        <f t="shared" si="1119"/>
        <v>818</v>
      </c>
      <c r="R573" s="210">
        <f t="shared" si="1119"/>
        <v>213</v>
      </c>
      <c r="S573" s="210">
        <f t="shared" si="1120"/>
        <v>200</v>
      </c>
      <c r="T573" s="210">
        <f t="shared" si="1120"/>
        <v>211</v>
      </c>
      <c r="U573" s="210">
        <f t="shared" si="1120"/>
        <v>202</v>
      </c>
      <c r="V573" s="994">
        <f t="shared" si="1121"/>
        <v>826</v>
      </c>
      <c r="W573" s="210">
        <f t="shared" si="1121"/>
        <v>211</v>
      </c>
      <c r="X573" s="210">
        <f t="shared" si="1122"/>
        <v>198</v>
      </c>
      <c r="Y573" s="210">
        <f t="shared" si="1122"/>
        <v>202</v>
      </c>
      <c r="Z573" s="265">
        <f t="shared" si="1122"/>
        <v>202</v>
      </c>
      <c r="AA573" s="993">
        <f t="shared" si="1123"/>
        <v>813</v>
      </c>
      <c r="AB573" s="210">
        <f t="shared" si="1123"/>
        <v>212</v>
      </c>
      <c r="AC573" s="210">
        <f t="shared" si="1124"/>
        <v>199</v>
      </c>
      <c r="AD573" s="210">
        <f t="shared" si="1124"/>
        <v>198</v>
      </c>
      <c r="AE573" s="265">
        <f t="shared" si="1124"/>
        <v>194</v>
      </c>
      <c r="AF573" s="993">
        <f t="shared" si="1125"/>
        <v>803</v>
      </c>
      <c r="AG573" s="210">
        <f t="shared" si="1125"/>
        <v>211</v>
      </c>
      <c r="AH573" s="210">
        <f t="shared" si="1126"/>
        <v>190</v>
      </c>
      <c r="AI573" s="210">
        <f t="shared" si="1126"/>
        <v>180</v>
      </c>
      <c r="AJ573" s="265">
        <f t="shared" si="1126"/>
        <v>182</v>
      </c>
      <c r="AK573" s="993">
        <f t="shared" si="1127"/>
        <v>763</v>
      </c>
      <c r="AL573" s="210">
        <f t="shared" si="1127"/>
        <v>203</v>
      </c>
      <c r="AM573" s="210">
        <f t="shared" si="1128"/>
        <v>188</v>
      </c>
      <c r="AN573" s="210">
        <f t="shared" si="1128"/>
        <v>186</v>
      </c>
      <c r="AO573" s="265">
        <f t="shared" si="1128"/>
        <v>212</v>
      </c>
      <c r="AP573" s="993">
        <f t="shared" si="1143" ref="AP573:AQ573">AP520</f>
        <v>789</v>
      </c>
      <c r="AQ573" s="210">
        <f t="shared" si="1143"/>
        <v>235</v>
      </c>
      <c r="AR573" s="210">
        <f t="shared" si="1130"/>
        <v>215</v>
      </c>
      <c r="AS573" s="210">
        <f t="shared" si="1130"/>
        <v>212</v>
      </c>
      <c r="AT573" s="265">
        <f t="shared" si="1130"/>
        <v>208</v>
      </c>
      <c r="AU573" s="993">
        <f t="shared" si="1131"/>
        <v>870</v>
      </c>
      <c r="AV573" s="210">
        <f t="shared" si="1131"/>
        <v>234</v>
      </c>
      <c r="AW573" s="210">
        <f t="shared" si="1132"/>
        <v>210</v>
      </c>
      <c r="AX573" s="210">
        <f t="shared" si="1132"/>
        <v>195</v>
      </c>
      <c r="AY573" s="265">
        <f t="shared" si="1132"/>
        <v>187</v>
      </c>
      <c r="AZ573" s="993">
        <f t="shared" si="1133"/>
        <v>826</v>
      </c>
      <c r="BA573" s="210">
        <f t="shared" si="1133"/>
        <v>204</v>
      </c>
      <c r="BB573" s="210">
        <f t="shared" si="1134"/>
        <v>179</v>
      </c>
      <c r="BC573" s="210">
        <f t="shared" si="1134"/>
        <v>169</v>
      </c>
      <c r="BD573" s="265">
        <f t="shared" si="1135"/>
        <v>170</v>
      </c>
      <c r="BE573" s="993">
        <f t="shared" si="1136"/>
        <v>722</v>
      </c>
      <c r="BF573" s="210">
        <f t="shared" si="1137"/>
        <v>196</v>
      </c>
      <c r="BG573" s="210">
        <f t="shared" si="1138"/>
        <v>182</v>
      </c>
      <c r="BH573" s="553">
        <f t="shared" si="1139"/>
        <v>174</v>
      </c>
      <c r="BI573" s="210"/>
      <c r="BJ573" s="994">
        <f t="shared" si="1140"/>
        <v>552</v>
      </c>
      <c r="BK573" s="210"/>
      <c r="BL573" s="210"/>
      <c r="BM573" s="210"/>
      <c r="BN573" s="210"/>
      <c r="BO573" s="994">
        <f t="shared" si="1141"/>
        <v>0</v>
      </c>
      <c r="BP573" s="994"/>
      <c r="BQ573" s="994"/>
      <c r="BR573" s="994"/>
      <c r="BS573" s="272"/>
    </row>
    <row r="574" spans="1:71" s="61" customFormat="1" ht="15">
      <c r="A574" s="66" t="str">
        <f t="shared" si="1114"/>
        <v>Deferred federal income tax expense</v>
      </c>
      <c r="B574" s="462"/>
      <c r="C574" s="994">
        <f t="shared" si="1115"/>
        <v>213</v>
      </c>
      <c r="D574" s="994">
        <f t="shared" si="1115"/>
        <v>178</v>
      </c>
      <c r="E574" s="994">
        <f t="shared" si="1115"/>
        <v>63</v>
      </c>
      <c r="F574" s="994">
        <f t="shared" si="1115"/>
        <v>223</v>
      </c>
      <c r="G574" s="994">
        <f t="shared" si="1115"/>
        <v>167</v>
      </c>
      <c r="H574" s="210">
        <f t="shared" si="1115"/>
        <v>153</v>
      </c>
      <c r="I574" s="210">
        <f t="shared" si="1116"/>
        <v>-22</v>
      </c>
      <c r="J574" s="210">
        <f t="shared" si="1116"/>
        <v>-38</v>
      </c>
      <c r="K574" s="210">
        <f t="shared" si="1116"/>
        <v>28</v>
      </c>
      <c r="L574" s="994">
        <f t="shared" si="1117"/>
        <v>121</v>
      </c>
      <c r="M574" s="210">
        <f t="shared" si="1117"/>
        <v>133</v>
      </c>
      <c r="N574" s="210">
        <f t="shared" si="1118"/>
        <v>9</v>
      </c>
      <c r="O574" s="210">
        <f t="shared" si="1118"/>
        <v>-37</v>
      </c>
      <c r="P574" s="210">
        <f t="shared" si="1118"/>
        <v>12</v>
      </c>
      <c r="Q574" s="994">
        <f t="shared" si="1119"/>
        <v>117</v>
      </c>
      <c r="R574" s="210">
        <f t="shared" si="1119"/>
        <v>105</v>
      </c>
      <c r="S574" s="210">
        <f t="shared" si="1120"/>
        <v>-30</v>
      </c>
      <c r="T574" s="210">
        <f t="shared" si="1120"/>
        <v>-46</v>
      </c>
      <c r="U574" s="210">
        <f t="shared" si="1120"/>
        <v>81</v>
      </c>
      <c r="V574" s="994">
        <f t="shared" si="1121"/>
        <v>110</v>
      </c>
      <c r="W574" s="210">
        <f t="shared" si="1121"/>
        <v>151</v>
      </c>
      <c r="X574" s="210">
        <f t="shared" si="1122"/>
        <v>-45</v>
      </c>
      <c r="Y574" s="210">
        <f t="shared" si="1122"/>
        <v>-18</v>
      </c>
      <c r="Z574" s="265">
        <f t="shared" si="1122"/>
        <v>249</v>
      </c>
      <c r="AA574" s="993">
        <f t="shared" si="1123"/>
        <v>337</v>
      </c>
      <c r="AB574" s="210">
        <f t="shared" si="1123"/>
        <v>-56</v>
      </c>
      <c r="AC574" s="210">
        <f t="shared" si="1124"/>
        <v>-14</v>
      </c>
      <c r="AD574" s="210">
        <f t="shared" si="1124"/>
        <v>27</v>
      </c>
      <c r="AE574" s="265">
        <f t="shared" si="1124"/>
        <v>30</v>
      </c>
      <c r="AF574" s="993">
        <f t="shared" si="1125"/>
        <v>-13</v>
      </c>
      <c r="AG574" s="210">
        <f t="shared" si="1125"/>
        <v>32</v>
      </c>
      <c r="AH574" s="210">
        <f t="shared" si="1126"/>
        <v>-22</v>
      </c>
      <c r="AI574" s="210">
        <f t="shared" si="1126"/>
        <v>-20</v>
      </c>
      <c r="AJ574" s="265">
        <f t="shared" si="1126"/>
        <v>-23</v>
      </c>
      <c r="AK574" s="993">
        <f t="shared" si="1127"/>
        <v>-33</v>
      </c>
      <c r="AL574" s="210">
        <f t="shared" si="1127"/>
        <v>6</v>
      </c>
      <c r="AM574" s="210">
        <f t="shared" si="1128"/>
        <v>-77</v>
      </c>
      <c r="AN574" s="210">
        <f t="shared" si="1128"/>
        <v>4</v>
      </c>
      <c r="AO574" s="265">
        <f t="shared" si="1128"/>
        <v>38</v>
      </c>
      <c r="AP574" s="993">
        <f t="shared" si="1144" ref="AP574:AQ574">AP521</f>
        <v>-29</v>
      </c>
      <c r="AQ574" s="210">
        <f t="shared" si="1144"/>
        <v>56</v>
      </c>
      <c r="AR574" s="210">
        <f t="shared" si="1130"/>
        <v>1</v>
      </c>
      <c r="AS574" s="210">
        <f t="shared" si="1130"/>
        <v>4</v>
      </c>
      <c r="AT574" s="265">
        <f t="shared" si="1130"/>
        <v>1</v>
      </c>
      <c r="AU574" s="993">
        <f t="shared" si="1131"/>
        <v>62</v>
      </c>
      <c r="AV574" s="210">
        <f t="shared" si="1131"/>
        <v>40</v>
      </c>
      <c r="AW574" s="210">
        <f t="shared" si="1132"/>
        <v>-68</v>
      </c>
      <c r="AX574" s="210">
        <f t="shared" si="1132"/>
        <v>-102</v>
      </c>
      <c r="AY574" s="265">
        <f t="shared" si="1132"/>
        <v>-56</v>
      </c>
      <c r="AZ574" s="993">
        <f t="shared" si="1133"/>
        <v>-186</v>
      </c>
      <c r="BA574" s="210">
        <f t="shared" si="1133"/>
        <v>32</v>
      </c>
      <c r="BB574" s="210">
        <f t="shared" si="1134"/>
        <v>-96</v>
      </c>
      <c r="BC574" s="210">
        <f t="shared" si="1134"/>
        <v>-43</v>
      </c>
      <c r="BD574" s="265">
        <f t="shared" si="1135"/>
        <v>-56</v>
      </c>
      <c r="BE574" s="993">
        <f t="shared" si="1136"/>
        <v>-163</v>
      </c>
      <c r="BF574" s="210">
        <f t="shared" si="1137"/>
        <v>42</v>
      </c>
      <c r="BG574" s="210">
        <f t="shared" si="1138"/>
        <v>-85</v>
      </c>
      <c r="BH574" s="553">
        <f t="shared" si="1139"/>
        <v>-59</v>
      </c>
      <c r="BI574" s="210">
        <f>BI404</f>
        <v>-16.284866258764815</v>
      </c>
      <c r="BJ574" s="994">
        <f t="shared" si="1140"/>
        <v>-118.28486625876482</v>
      </c>
      <c r="BK574" s="210">
        <f>BK404</f>
        <v>-14.62654693508328</v>
      </c>
      <c r="BL574" s="210">
        <f>BL404</f>
        <v>-9.9336741030475242</v>
      </c>
      <c r="BM574" s="210">
        <f>BM404</f>
        <v>-12.835565321971099</v>
      </c>
      <c r="BN574" s="210">
        <f>BN404</f>
        <v>-16.90928639607824</v>
      </c>
      <c r="BO574" s="994">
        <f t="shared" si="1141"/>
        <v>-54.305072756180152</v>
      </c>
      <c r="BP574" s="994">
        <f>BP404</f>
        <v>-59.020731579052757</v>
      </c>
      <c r="BQ574" s="994">
        <f>BQ404</f>
        <v>-68.396403971661826</v>
      </c>
      <c r="BR574" s="994">
        <f>BR404</f>
        <v>-62.373888186928333</v>
      </c>
      <c r="BS574" s="272"/>
    </row>
    <row r="575" spans="1:71" s="61" customFormat="1" ht="15">
      <c r="A575" s="66" t="str">
        <f t="shared" si="1114"/>
        <v>Amortization of deferred acquisition costs</v>
      </c>
      <c r="B575" s="462"/>
      <c r="C575" s="994">
        <f t="shared" si="1115"/>
        <v>3813</v>
      </c>
      <c r="D575" s="994">
        <f t="shared" si="1115"/>
        <v>3802</v>
      </c>
      <c r="E575" s="994">
        <f t="shared" si="1115"/>
        <v>3876</v>
      </c>
      <c r="F575" s="994">
        <f t="shared" si="1115"/>
        <v>3910</v>
      </c>
      <c r="G575" s="994">
        <f t="shared" si="1115"/>
        <v>3821</v>
      </c>
      <c r="H575" s="210">
        <f t="shared" si="1115"/>
        <v>950</v>
      </c>
      <c r="I575" s="210">
        <f t="shared" si="1116"/>
        <v>965</v>
      </c>
      <c r="J575" s="210">
        <f t="shared" si="1116"/>
        <v>984</v>
      </c>
      <c r="K575" s="210">
        <f t="shared" si="1116"/>
        <v>983</v>
      </c>
      <c r="L575" s="994">
        <f t="shared" si="1117"/>
        <v>3882</v>
      </c>
      <c r="M575" s="210">
        <f t="shared" si="1117"/>
        <v>963</v>
      </c>
      <c r="N575" s="210">
        <f t="shared" si="1118"/>
        <v>963</v>
      </c>
      <c r="O575" s="210">
        <f t="shared" si="1118"/>
        <v>987</v>
      </c>
      <c r="P575" s="210">
        <f t="shared" si="1118"/>
        <v>972</v>
      </c>
      <c r="Q575" s="994">
        <f t="shared" si="1119"/>
        <v>3885</v>
      </c>
      <c r="R575" s="210">
        <f t="shared" si="1119"/>
        <v>971</v>
      </c>
      <c r="S575" s="210">
        <f t="shared" si="1120"/>
        <v>989</v>
      </c>
      <c r="T575" s="210">
        <f t="shared" si="1120"/>
        <v>1012</v>
      </c>
      <c r="U575" s="210">
        <f t="shared" si="1120"/>
        <v>1013</v>
      </c>
      <c r="V575" s="994">
        <f t="shared" si="1121"/>
        <v>3985</v>
      </c>
      <c r="W575" s="210">
        <f t="shared" si="1121"/>
        <v>1003</v>
      </c>
      <c r="X575" s="210">
        <f t="shared" si="1122"/>
        <v>1032</v>
      </c>
      <c r="Y575" s="210">
        <f t="shared" si="1122"/>
        <v>1059</v>
      </c>
      <c r="Z575" s="265">
        <f t="shared" si="1122"/>
        <v>1072</v>
      </c>
      <c r="AA575" s="993">
        <f t="shared" si="1123"/>
        <v>4166</v>
      </c>
      <c r="AB575" s="210">
        <f t="shared" si="1123"/>
        <v>1061</v>
      </c>
      <c r="AC575" s="210">
        <f t="shared" si="1124"/>
        <v>1081</v>
      </c>
      <c r="AD575" s="210">
        <f t="shared" si="1124"/>
        <v>1117</v>
      </c>
      <c r="AE575" s="265">
        <f t="shared" si="1124"/>
        <v>1122</v>
      </c>
      <c r="AF575" s="993">
        <f t="shared" si="1125"/>
        <v>4381</v>
      </c>
      <c r="AG575" s="210">
        <f t="shared" si="1125"/>
        <v>1117</v>
      </c>
      <c r="AH575" s="210">
        <f t="shared" si="1126"/>
        <v>1134</v>
      </c>
      <c r="AI575" s="210">
        <f t="shared" si="1126"/>
        <v>1169</v>
      </c>
      <c r="AJ575" s="265">
        <f t="shared" si="1126"/>
        <v>1181</v>
      </c>
      <c r="AK575" s="993">
        <f t="shared" si="1127"/>
        <v>4601</v>
      </c>
      <c r="AL575" s="265">
        <f t="shared" si="1127"/>
        <v>1178</v>
      </c>
      <c r="AM575" s="265">
        <f t="shared" si="1128"/>
        <v>1173</v>
      </c>
      <c r="AN575" s="210">
        <f t="shared" si="1128"/>
        <v>1207</v>
      </c>
      <c r="AO575" s="265">
        <f t="shared" si="1128"/>
        <v>1215</v>
      </c>
      <c r="AP575" s="993">
        <f t="shared" si="1145" ref="AP575:AQ575">AP522</f>
        <v>4773</v>
      </c>
      <c r="AQ575" s="265">
        <f t="shared" si="1145"/>
        <v>1207</v>
      </c>
      <c r="AR575" s="265">
        <f t="shared" si="1130"/>
        <v>1254</v>
      </c>
      <c r="AS575" s="210">
        <f t="shared" si="1130"/>
        <v>1281</v>
      </c>
      <c r="AT575" s="265">
        <f t="shared" si="1130"/>
        <v>1301</v>
      </c>
      <c r="AU575" s="993">
        <f t="shared" si="1131"/>
        <v>5043</v>
      </c>
      <c r="AV575" s="265">
        <f t="shared" si="1131"/>
        <v>1310</v>
      </c>
      <c r="AW575" s="265">
        <f t="shared" si="1132"/>
        <v>1365</v>
      </c>
      <c r="AX575" s="210">
        <f t="shared" si="1132"/>
        <v>1406</v>
      </c>
      <c r="AY575" s="265">
        <f t="shared" si="1132"/>
        <v>1434</v>
      </c>
      <c r="AZ575" s="993">
        <f t="shared" si="1133"/>
        <v>5515</v>
      </c>
      <c r="BA575" s="265">
        <f t="shared" si="1133"/>
        <v>1462</v>
      </c>
      <c r="BB575" s="265">
        <f t="shared" si="1134"/>
        <v>1519</v>
      </c>
      <c r="BC575" s="210">
        <f t="shared" si="1134"/>
        <v>1604</v>
      </c>
      <c r="BD575" s="265">
        <f t="shared" si="1135"/>
        <v>1641</v>
      </c>
      <c r="BE575" s="993">
        <f t="shared" si="1136"/>
        <v>6226</v>
      </c>
      <c r="BF575" s="265">
        <f t="shared" si="1137"/>
        <v>1698</v>
      </c>
      <c r="BG575" s="265">
        <f t="shared" si="1138"/>
        <v>1678</v>
      </c>
      <c r="BH575" s="553">
        <f t="shared" si="1139"/>
        <v>1790</v>
      </c>
      <c r="BI575" s="210">
        <f>BI397</f>
        <v>1608.3653612399999</v>
      </c>
      <c r="BJ575" s="994">
        <f t="shared" si="1140"/>
        <v>6774.3653612399994</v>
      </c>
      <c r="BK575" s="210">
        <f>BK397</f>
        <v>1779.3013017880003</v>
      </c>
      <c r="BL575" s="210">
        <f>BL397</f>
        <v>1902.025952299</v>
      </c>
      <c r="BM575" s="210">
        <f>BM397</f>
        <v>1948.9009908170001</v>
      </c>
      <c r="BN575" s="210">
        <f>BN397</f>
        <v>1675.1323659312002</v>
      </c>
      <c r="BO575" s="994">
        <f t="shared" si="1141"/>
        <v>7305.3606108352005</v>
      </c>
      <c r="BP575" s="994">
        <f>BP397</f>
        <v>7358.9070987948835</v>
      </c>
      <c r="BQ575" s="994">
        <f>BQ397</f>
        <v>7314.963116018288</v>
      </c>
      <c r="BR575" s="994">
        <f>BR397</f>
        <v>7897.1701237441366</v>
      </c>
      <c r="BS575" s="272"/>
    </row>
    <row r="576" spans="1:71" s="61" customFormat="1" ht="15">
      <c r="A576" s="343" t="str">
        <f t="shared" si="1114"/>
        <v>Equity in income from other investments</v>
      </c>
      <c r="B576" s="478"/>
      <c r="C576" s="996">
        <f t="shared" si="1115"/>
        <v>126</v>
      </c>
      <c r="D576" s="996">
        <f t="shared" si="1115"/>
        <v>-283</v>
      </c>
      <c r="E576" s="996">
        <f t="shared" si="1115"/>
        <v>-281</v>
      </c>
      <c r="F576" s="996">
        <f t="shared" si="1115"/>
        <v>-342</v>
      </c>
      <c r="G576" s="996">
        <f t="shared" si="1115"/>
        <v>-357</v>
      </c>
      <c r="H576" s="205">
        <f t="shared" si="1115"/>
        <v>-139</v>
      </c>
      <c r="I576" s="205">
        <f t="shared" si="1116"/>
        <v>-118</v>
      </c>
      <c r="J576" s="205">
        <f t="shared" si="1116"/>
        <v>-155</v>
      </c>
      <c r="K576" s="205">
        <f t="shared" si="1116"/>
        <v>-74</v>
      </c>
      <c r="L576" s="996">
        <f t="shared" si="1117"/>
        <v>-486</v>
      </c>
      <c r="M576" s="205">
        <f t="shared" si="1117"/>
        <v>-43</v>
      </c>
      <c r="N576" s="205">
        <f t="shared" si="1118"/>
        <v>-91</v>
      </c>
      <c r="O576" s="205">
        <f t="shared" si="1118"/>
        <v>-80</v>
      </c>
      <c r="P576" s="205">
        <f t="shared" si="1118"/>
        <v>-4</v>
      </c>
      <c r="Q576" s="996">
        <f t="shared" si="1119"/>
        <v>-218</v>
      </c>
      <c r="R576" s="205">
        <f t="shared" si="1119"/>
        <v>-17</v>
      </c>
      <c r="S576" s="205">
        <f t="shared" si="1120"/>
        <v>-27</v>
      </c>
      <c r="T576" s="205">
        <f t="shared" si="1120"/>
        <v>-70</v>
      </c>
      <c r="U576" s="205">
        <f t="shared" si="1120"/>
        <v>-118</v>
      </c>
      <c r="V576" s="996">
        <f t="shared" si="1121"/>
        <v>-232</v>
      </c>
      <c r="W576" s="205">
        <f t="shared" si="1121"/>
        <v>-109</v>
      </c>
      <c r="X576" s="205">
        <f t="shared" si="1122"/>
        <v>-101</v>
      </c>
      <c r="Y576" s="205">
        <f t="shared" si="1122"/>
        <v>-90</v>
      </c>
      <c r="Z576" s="186">
        <f t="shared" si="1122"/>
        <v>-97</v>
      </c>
      <c r="AA576" s="995">
        <f t="shared" si="1123"/>
        <v>-397</v>
      </c>
      <c r="AB576" s="205">
        <f t="shared" si="1123"/>
        <v>-95</v>
      </c>
      <c r="AC576" s="205">
        <f t="shared" si="1124"/>
        <v>-74</v>
      </c>
      <c r="AD576" s="205">
        <f t="shared" si="1124"/>
        <v>-115</v>
      </c>
      <c r="AE576" s="186">
        <f t="shared" si="1124"/>
        <v>-81</v>
      </c>
      <c r="AF576" s="995">
        <f t="shared" si="1125"/>
        <v>-365</v>
      </c>
      <c r="AG576" s="205">
        <f t="shared" si="1125"/>
        <v>-34</v>
      </c>
      <c r="AH576" s="205">
        <f t="shared" si="1126"/>
        <v>-98</v>
      </c>
      <c r="AI576" s="205">
        <f t="shared" si="1126"/>
        <v>-64</v>
      </c>
      <c r="AJ576" s="186">
        <f t="shared" si="1126"/>
        <v>-55</v>
      </c>
      <c r="AK576" s="995">
        <f t="shared" si="1127"/>
        <v>-251</v>
      </c>
      <c r="AL576" s="205">
        <f t="shared" si="1127"/>
        <v>-67</v>
      </c>
      <c r="AM576" s="205">
        <f t="shared" si="1128"/>
        <v>253</v>
      </c>
      <c r="AN576" s="205">
        <f t="shared" si="1128"/>
        <v>-154</v>
      </c>
      <c r="AO576" s="186">
        <f t="shared" si="1128"/>
        <v>-162</v>
      </c>
      <c r="AP576" s="995">
        <f t="shared" si="1146" ref="AP576:AQ576">AP523</f>
        <v>-130</v>
      </c>
      <c r="AQ576" s="205">
        <f t="shared" si="1146"/>
        <v>-200</v>
      </c>
      <c r="AR576" s="205">
        <f t="shared" si="1130"/>
        <v>-313</v>
      </c>
      <c r="AS576" s="205">
        <f t="shared" si="1130"/>
        <v>-261</v>
      </c>
      <c r="AT576" s="186">
        <f t="shared" si="1130"/>
        <v>-219</v>
      </c>
      <c r="AU576" s="995">
        <f t="shared" si="1131"/>
        <v>-993</v>
      </c>
      <c r="AV576" s="205">
        <f t="shared" si="1131"/>
        <v>-118</v>
      </c>
      <c r="AW576" s="205">
        <f t="shared" si="1132"/>
        <v>-177</v>
      </c>
      <c r="AX576" s="205">
        <f t="shared" si="1132"/>
        <v>-24</v>
      </c>
      <c r="AY576" s="186">
        <f t="shared" si="1132"/>
        <v>-17</v>
      </c>
      <c r="AZ576" s="995">
        <f t="shared" si="1133"/>
        <v>-336</v>
      </c>
      <c r="BA576" s="205">
        <f t="shared" si="1133"/>
        <v>-30</v>
      </c>
      <c r="BB576" s="205">
        <f t="shared" si="1134"/>
        <v>-55</v>
      </c>
      <c r="BC576" s="205">
        <f t="shared" si="1134"/>
        <v>-59</v>
      </c>
      <c r="BD576" s="186">
        <f t="shared" si="1135"/>
        <v>-13</v>
      </c>
      <c r="BE576" s="995">
        <f t="shared" si="1136"/>
        <v>-157</v>
      </c>
      <c r="BF576" s="205">
        <f t="shared" si="1137"/>
        <v>-68</v>
      </c>
      <c r="BG576" s="205">
        <f t="shared" si="1138"/>
        <v>-89</v>
      </c>
      <c r="BH576" s="658">
        <f t="shared" si="1139"/>
        <v>-63</v>
      </c>
      <c r="BI576" s="205"/>
      <c r="BJ576" s="996">
        <f t="shared" si="1140"/>
        <v>-220</v>
      </c>
      <c r="BK576" s="205"/>
      <c r="BL576" s="205"/>
      <c r="BM576" s="205"/>
      <c r="BN576" s="205"/>
      <c r="BO576" s="996">
        <f t="shared" si="1141"/>
        <v>0</v>
      </c>
      <c r="BP576" s="996"/>
      <c r="BQ576" s="996"/>
      <c r="BR576" s="996"/>
      <c r="BS576" s="272"/>
    </row>
    <row r="577" spans="1:71" s="61" customFormat="1" ht="15">
      <c r="A577" s="108" t="str">
        <f t="shared" si="1114"/>
        <v>CFO before WC</v>
      </c>
      <c r="B577" s="479"/>
      <c r="C577" s="998">
        <f t="shared" si="1147" ref="C577:AM577">SUM(C571:C576)</f>
        <v>8554</v>
      </c>
      <c r="D577" s="998">
        <f t="shared" si="1147"/>
        <v>7461</v>
      </c>
      <c r="E577" s="998">
        <f t="shared" si="1147"/>
        <v>5831</v>
      </c>
      <c r="F577" s="998">
        <f t="shared" si="1147"/>
        <v>7040</v>
      </c>
      <c r="G577" s="998">
        <f t="shared" si="1147"/>
        <v>8005</v>
      </c>
      <c r="H577" s="194">
        <f t="shared" si="1147"/>
        <v>2242</v>
      </c>
      <c r="I577" s="194">
        <f t="shared" si="1147"/>
        <v>1707</v>
      </c>
      <c r="J577" s="194">
        <f t="shared" si="1147"/>
        <v>1881</v>
      </c>
      <c r="K577" s="194">
        <f t="shared" si="1147"/>
        <v>2164</v>
      </c>
      <c r="L577" s="998">
        <f t="shared" si="1147"/>
        <v>7994</v>
      </c>
      <c r="M577" s="194">
        <f t="shared" si="1147"/>
        <v>2101</v>
      </c>
      <c r="N577" s="194">
        <f t="shared" si="1147"/>
        <v>1887</v>
      </c>
      <c r="O577" s="194">
        <f t="shared" si="1147"/>
        <v>1974</v>
      </c>
      <c r="P577" s="194">
        <f t="shared" si="1147"/>
        <v>2076</v>
      </c>
      <c r="Q577" s="998">
        <f t="shared" si="1147"/>
        <v>8038</v>
      </c>
      <c r="R577" s="194">
        <f t="shared" si="1147"/>
        <v>1972</v>
      </c>
      <c r="S577" s="194">
        <f t="shared" si="1147"/>
        <v>1777</v>
      </c>
      <c r="T577" s="194">
        <f t="shared" si="1147"/>
        <v>1800</v>
      </c>
      <c r="U577" s="194">
        <f t="shared" si="1147"/>
        <v>2086</v>
      </c>
      <c r="V577" s="998">
        <f t="shared" si="1147"/>
        <v>7635</v>
      </c>
      <c r="W577" s="194">
        <f t="shared" si="1147"/>
        <v>1868</v>
      </c>
      <c r="X577" s="194">
        <f t="shared" si="1147"/>
        <v>1599</v>
      </c>
      <c r="Y577" s="194">
        <f t="shared" si="1147"/>
        <v>1385</v>
      </c>
      <c r="Z577" s="193">
        <f t="shared" si="1147"/>
        <v>1907</v>
      </c>
      <c r="AA577" s="997">
        <f t="shared" si="1147"/>
        <v>6759</v>
      </c>
      <c r="AB577" s="194">
        <f t="shared" si="1147"/>
        <v>1802</v>
      </c>
      <c r="AC577" s="194">
        <f t="shared" si="1147"/>
        <v>1680</v>
      </c>
      <c r="AD577" s="194">
        <f t="shared" si="1147"/>
        <v>1907</v>
      </c>
      <c r="AE577" s="193">
        <f t="shared" si="1147"/>
        <v>1826</v>
      </c>
      <c r="AF577" s="997">
        <f t="shared" si="1147"/>
        <v>7215</v>
      </c>
      <c r="AG577" s="194">
        <f t="shared" si="1147"/>
        <v>2069</v>
      </c>
      <c r="AH577" s="194">
        <f t="shared" si="1147"/>
        <v>1736</v>
      </c>
      <c r="AI577" s="194">
        <f t="shared" si="1147"/>
        <v>1638</v>
      </c>
      <c r="AJ577" s="193">
        <f t="shared" si="1147"/>
        <v>2146</v>
      </c>
      <c r="AK577" s="997">
        <f t="shared" si="1147"/>
        <v>7589</v>
      </c>
      <c r="AL577" s="194">
        <f t="shared" si="1147"/>
        <v>2018</v>
      </c>
      <c r="AM577" s="194">
        <f t="shared" si="1147"/>
        <v>1484</v>
      </c>
      <c r="AN577" s="194">
        <f>SUM(AN571:AN576)</f>
        <v>2033</v>
      </c>
      <c r="AO577" s="193">
        <f t="shared" si="1148" ref="AO577:AQ577">SUM(AO571:AO576)</f>
        <v>2563</v>
      </c>
      <c r="AP577" s="997">
        <f t="shared" si="1148"/>
        <v>8098</v>
      </c>
      <c r="AQ577" s="194">
        <f t="shared" si="1148"/>
        <v>1987</v>
      </c>
      <c r="AR577" s="194">
        <f t="shared" si="1149" ref="AR577:AW577">SUM(AR571:AR576)</f>
        <v>2030</v>
      </c>
      <c r="AS577" s="194">
        <f t="shared" si="1149"/>
        <v>1890</v>
      </c>
      <c r="AT577" s="193">
        <f t="shared" si="1149"/>
        <v>2566</v>
      </c>
      <c r="AU577" s="997">
        <f t="shared" si="1149"/>
        <v>8473</v>
      </c>
      <c r="AV577" s="194">
        <f t="shared" si="1149"/>
        <v>2507</v>
      </c>
      <c r="AW577" s="194">
        <f t="shared" si="1149"/>
        <v>1976</v>
      </c>
      <c r="AX577" s="194">
        <f t="shared" si="1150" ref="AX577:BJ577">SUM(AX571:AX576)</f>
        <v>2022</v>
      </c>
      <c r="AY577" s="193">
        <f t="shared" si="1150"/>
        <v>2360</v>
      </c>
      <c r="AZ577" s="997">
        <f t="shared" si="1150"/>
        <v>8865</v>
      </c>
      <c r="BA577" s="194">
        <f t="shared" si="1151" ref="BA577:BI577">SUM(BA571:BA576)</f>
        <v>2637</v>
      </c>
      <c r="BB577" s="194">
        <f t="shared" si="1151"/>
        <v>1568</v>
      </c>
      <c r="BC577" s="194">
        <f t="shared" si="1151"/>
        <v>2140</v>
      </c>
      <c r="BD577" s="193">
        <f t="shared" si="1151"/>
        <v>3379</v>
      </c>
      <c r="BE577" s="997">
        <f t="shared" si="1151"/>
        <v>9724</v>
      </c>
      <c r="BF577" s="194">
        <f>SUM(BF571:BF576)</f>
        <v>2956</v>
      </c>
      <c r="BG577" s="194">
        <f>SUM(BG571:BG576)</f>
        <v>2285</v>
      </c>
      <c r="BH577" s="962">
        <f>SUM(BH571:BH576)</f>
        <v>3047</v>
      </c>
      <c r="BI577" s="194">
        <f t="shared" si="1151"/>
        <v>3041.4335920113035</v>
      </c>
      <c r="BJ577" s="998">
        <f t="shared" si="1150"/>
        <v>11329.433592011304</v>
      </c>
      <c r="BK577" s="194">
        <f t="shared" si="1152" ref="BK577:BR577">SUM(BK571:BK576)</f>
        <v>3066.4374320753286</v>
      </c>
      <c r="BL577" s="194">
        <f t="shared" si="1152"/>
        <v>2776.1892733671821</v>
      </c>
      <c r="BM577" s="194">
        <f t="shared" si="1152"/>
        <v>3014.2529125406013</v>
      </c>
      <c r="BN577" s="194">
        <f t="shared" si="1152"/>
        <v>3180.0588551821638</v>
      </c>
      <c r="BO577" s="998">
        <f t="shared" si="1152"/>
        <v>12036.938473165275</v>
      </c>
      <c r="BP577" s="998">
        <f t="shared" si="1152"/>
        <v>12552.731477751511</v>
      </c>
      <c r="BQ577" s="998">
        <f t="shared" si="1152"/>
        <v>12889.27003970871</v>
      </c>
      <c r="BR577" s="998">
        <f t="shared" si="1152"/>
        <v>12980.64201097878</v>
      </c>
      <c r="BS577" s="272"/>
    </row>
    <row r="578" spans="1:71" s="61" customFormat="1" ht="15">
      <c r="A578" s="66" t="str">
        <f t="shared" si="1114"/>
        <v>Premiums receivable</v>
      </c>
      <c r="B578" s="462"/>
      <c r="C578" s="994">
        <f t="shared" si="1153" ref="C578:H582">C525</f>
        <v>364</v>
      </c>
      <c r="D578" s="994">
        <f t="shared" si="1153"/>
        <v>-29</v>
      </c>
      <c r="E578" s="994">
        <f t="shared" si="1153"/>
        <v>-237</v>
      </c>
      <c r="F578" s="994">
        <f t="shared" si="1153"/>
        <v>-138</v>
      </c>
      <c r="G578" s="994">
        <f t="shared" si="1153"/>
        <v>54</v>
      </c>
      <c r="H578" s="210">
        <f t="shared" si="1153"/>
        <v>-189</v>
      </c>
      <c r="I578" s="210">
        <f t="shared" si="1154" ref="I578:K582">I525-H525</f>
        <v>-274</v>
      </c>
      <c r="J578" s="210">
        <f t="shared" si="1154"/>
        <v>129</v>
      </c>
      <c r="K578" s="210">
        <f t="shared" si="1154"/>
        <v>127</v>
      </c>
      <c r="L578" s="994">
        <f t="shared" si="1155" ref="L578:M582">L525</f>
        <v>-207</v>
      </c>
      <c r="M578" s="210">
        <f t="shared" si="1155"/>
        <v>-258</v>
      </c>
      <c r="N578" s="210">
        <f t="shared" si="1156" ref="N578:P582">N525-M525</f>
        <v>-228</v>
      </c>
      <c r="O578" s="210">
        <f t="shared" si="1156"/>
        <v>186</v>
      </c>
      <c r="P578" s="210">
        <f t="shared" si="1156"/>
        <v>115</v>
      </c>
      <c r="Q578" s="994">
        <f t="shared" si="1157" ref="Q578:R582">Q525</f>
        <v>-185</v>
      </c>
      <c r="R578" s="210">
        <f t="shared" si="1157"/>
        <v>-393</v>
      </c>
      <c r="S578" s="210">
        <f t="shared" si="1158" ref="S578:U582">S525-R525</f>
        <v>-174</v>
      </c>
      <c r="T578" s="210">
        <f t="shared" si="1158"/>
        <v>227</v>
      </c>
      <c r="U578" s="210">
        <f t="shared" si="1158"/>
        <v>54</v>
      </c>
      <c r="V578" s="994">
        <f t="shared" si="1159" ref="V578:W582">V525</f>
        <v>-286</v>
      </c>
      <c r="W578" s="210">
        <f t="shared" si="1159"/>
        <v>-286</v>
      </c>
      <c r="X578" s="210">
        <f t="shared" si="1160" ref="X578:Z582">X525-W525</f>
        <v>-323</v>
      </c>
      <c r="Y578" s="210">
        <f t="shared" si="1160"/>
        <v>92</v>
      </c>
      <c r="Z578" s="265">
        <f t="shared" si="1160"/>
        <v>123</v>
      </c>
      <c r="AA578" s="993">
        <f t="shared" si="1161" ref="AA578:AB582">AA525</f>
        <v>-394</v>
      </c>
      <c r="AB578" s="210">
        <f t="shared" si="1161"/>
        <v>-397</v>
      </c>
      <c r="AC578" s="210">
        <f t="shared" si="1162" ref="AC578:AE582">AC525-AB525</f>
        <v>-263</v>
      </c>
      <c r="AD578" s="210">
        <f t="shared" si="1162"/>
        <v>152</v>
      </c>
      <c r="AE578" s="265">
        <f t="shared" si="1162"/>
        <v>115</v>
      </c>
      <c r="AF578" s="993">
        <f t="shared" si="1163" ref="AF578:AG582">AF525</f>
        <v>-393</v>
      </c>
      <c r="AG578" s="210">
        <f t="shared" si="1163"/>
        <v>-434</v>
      </c>
      <c r="AH578" s="210">
        <f t="shared" si="1164" ref="AH578:AJ582">AH525-AG525</f>
        <v>-345</v>
      </c>
      <c r="AI578" s="210">
        <f t="shared" si="1164"/>
        <v>168</v>
      </c>
      <c r="AJ578" s="265">
        <f t="shared" si="1164"/>
        <v>227</v>
      </c>
      <c r="AK578" s="993">
        <f t="shared" si="1165" ref="AK578:AL582">AK525</f>
        <v>-384</v>
      </c>
      <c r="AL578" s="210">
        <f t="shared" si="1165"/>
        <v>-326</v>
      </c>
      <c r="AM578" s="210">
        <f t="shared" si="1166" ref="AM578:AO582">AM525-AL525</f>
        <v>-245</v>
      </c>
      <c r="AN578" s="210">
        <f t="shared" si="1166"/>
        <v>247</v>
      </c>
      <c r="AO578" s="265">
        <f t="shared" si="1166"/>
        <v>418</v>
      </c>
      <c r="AP578" s="993">
        <f t="shared" si="1167" ref="AP578:AQ578">AP525</f>
        <v>94</v>
      </c>
      <c r="AQ578" s="210">
        <f t="shared" si="1167"/>
        <v>-333</v>
      </c>
      <c r="AR578" s="210">
        <f t="shared" si="1168" ref="AR578:AT582">AR525-AQ525</f>
        <v>-385</v>
      </c>
      <c r="AS578" s="210">
        <f t="shared" si="1168"/>
        <v>256</v>
      </c>
      <c r="AT578" s="265">
        <f t="shared" si="1168"/>
        <v>204</v>
      </c>
      <c r="AU578" s="993">
        <f t="shared" si="1169" ref="AU578:AV582">AU525</f>
        <v>-258</v>
      </c>
      <c r="AV578" s="210">
        <f t="shared" si="1169"/>
        <v>-509</v>
      </c>
      <c r="AW578" s="210">
        <f t="shared" si="1170" ref="AW578:AY582">AW525-AV525</f>
        <v>-562</v>
      </c>
      <c r="AX578" s="210">
        <f t="shared" si="1170"/>
        <v>210</v>
      </c>
      <c r="AY578" s="265">
        <f t="shared" si="1170"/>
        <v>-16</v>
      </c>
      <c r="AZ578" s="993">
        <f t="shared" si="1171" ref="AZ578:BA582">AZ525</f>
        <v>-877</v>
      </c>
      <c r="BA578" s="210">
        <f t="shared" si="1171"/>
        <v>-557</v>
      </c>
      <c r="BB578" s="210">
        <f t="shared" si="1172" ref="BB578:BC582">BB525-BA525</f>
        <v>-832</v>
      </c>
      <c r="BC578" s="210">
        <f t="shared" si="1172"/>
        <v>-33</v>
      </c>
      <c r="BD578" s="265">
        <f>BD525-BC525</f>
        <v>81</v>
      </c>
      <c r="BE578" s="993">
        <f t="shared" si="1173" ref="BE578:BF582">BE525</f>
        <v>-1341</v>
      </c>
      <c r="BF578" s="210">
        <f t="shared" si="1173"/>
        <v>-557</v>
      </c>
      <c r="BG578" s="210">
        <f t="shared" si="1174" ref="BG578:BH582">BG525-BF525</f>
        <v>-664</v>
      </c>
      <c r="BH578" s="553">
        <f t="shared" si="1174"/>
        <v>234</v>
      </c>
      <c r="BI578" s="210"/>
      <c r="BJ578" s="994">
        <f t="shared" si="1175" ref="BJ578:BJ584">SUM(BF578,BG578,BH578,BI578)</f>
        <v>-987</v>
      </c>
      <c r="BK578" s="210"/>
      <c r="BL578" s="210"/>
      <c r="BM578" s="210"/>
      <c r="BN578" s="210"/>
      <c r="BO578" s="994">
        <f t="shared" si="1176" ref="BO578:BO584">SUM(BK578,BL578,BM578,BN578)</f>
        <v>0</v>
      </c>
      <c r="BP578" s="994"/>
      <c r="BQ578" s="994"/>
      <c r="BR578" s="994"/>
      <c r="BS578" s="272"/>
    </row>
    <row r="579" spans="1:71" s="61" customFormat="1" ht="15">
      <c r="A579" s="66" t="str">
        <f t="shared" si="1114"/>
        <v>Reinsurance recoverables</v>
      </c>
      <c r="B579" s="462"/>
      <c r="C579" s="994">
        <f t="shared" si="1153"/>
        <v>1416</v>
      </c>
      <c r="D579" s="994">
        <f t="shared" si="1153"/>
        <v>1303</v>
      </c>
      <c r="E579" s="994">
        <f t="shared" si="1153"/>
        <v>809</v>
      </c>
      <c r="F579" s="994">
        <f t="shared" si="1153"/>
        <v>453</v>
      </c>
      <c r="G579" s="994">
        <f t="shared" si="1153"/>
        <v>1284</v>
      </c>
      <c r="H579" s="210">
        <f t="shared" si="1153"/>
        <v>106</v>
      </c>
      <c r="I579" s="210">
        <f t="shared" si="1154"/>
        <v>100</v>
      </c>
      <c r="J579" s="210">
        <f t="shared" si="1154"/>
        <v>197</v>
      </c>
      <c r="K579" s="210">
        <f t="shared" si="1154"/>
        <v>-3</v>
      </c>
      <c r="L579" s="994">
        <f t="shared" si="1155"/>
        <v>400</v>
      </c>
      <c r="M579" s="210">
        <f t="shared" si="1155"/>
        <v>69</v>
      </c>
      <c r="N579" s="210">
        <f t="shared" si="1156"/>
        <v>194</v>
      </c>
      <c r="O579" s="210">
        <f t="shared" si="1156"/>
        <v>-16</v>
      </c>
      <c r="P579" s="210">
        <f t="shared" si="1156"/>
        <v>25</v>
      </c>
      <c r="Q579" s="994">
        <f t="shared" si="1157"/>
        <v>272</v>
      </c>
      <c r="R579" s="210">
        <f t="shared" si="1157"/>
        <v>126</v>
      </c>
      <c r="S579" s="210">
        <f t="shared" si="1158"/>
        <v>190</v>
      </c>
      <c r="T579" s="210">
        <f t="shared" si="1158"/>
        <v>-68</v>
      </c>
      <c r="U579" s="210">
        <f t="shared" si="1158"/>
        <v>362</v>
      </c>
      <c r="V579" s="994">
        <f t="shared" si="1159"/>
        <v>610</v>
      </c>
      <c r="W579" s="210">
        <f t="shared" si="1159"/>
        <v>94</v>
      </c>
      <c r="X579" s="210">
        <f t="shared" si="1160"/>
        <v>63</v>
      </c>
      <c r="Y579" s="210">
        <f t="shared" si="1160"/>
        <v>-176</v>
      </c>
      <c r="Z579" s="265">
        <f t="shared" si="1160"/>
        <v>35</v>
      </c>
      <c r="AA579" s="993">
        <f t="shared" si="1161"/>
        <v>16</v>
      </c>
      <c r="AB579" s="210">
        <f t="shared" si="1161"/>
        <v>5</v>
      </c>
      <c r="AC579" s="210">
        <f t="shared" si="1162"/>
        <v>24</v>
      </c>
      <c r="AD579" s="210">
        <f t="shared" si="1162"/>
        <v>-50</v>
      </c>
      <c r="AE579" s="265">
        <f t="shared" si="1162"/>
        <v>-79</v>
      </c>
      <c r="AF579" s="993">
        <f t="shared" si="1163"/>
        <v>-100</v>
      </c>
      <c r="AG579" s="210">
        <f t="shared" si="1163"/>
        <v>98</v>
      </c>
      <c r="AH579" s="210">
        <f t="shared" si="1164"/>
        <v>53</v>
      </c>
      <c r="AI579" s="210">
        <f t="shared" si="1164"/>
        <v>61</v>
      </c>
      <c r="AJ579" s="265">
        <f t="shared" si="1164"/>
        <v>-55</v>
      </c>
      <c r="AK579" s="993">
        <f t="shared" si="1165"/>
        <v>157</v>
      </c>
      <c r="AL579" s="210">
        <f t="shared" si="1165"/>
        <v>-15</v>
      </c>
      <c r="AM579" s="210">
        <f t="shared" si="1166"/>
        <v>75</v>
      </c>
      <c r="AN579" s="210">
        <f t="shared" si="1166"/>
        <v>-210</v>
      </c>
      <c r="AO579" s="265">
        <f t="shared" si="1166"/>
        <v>-12</v>
      </c>
      <c r="AP579" s="993">
        <f t="shared" si="1177" ref="AP579:AQ579">AP526</f>
        <v>-162</v>
      </c>
      <c r="AQ579" s="210">
        <f t="shared" si="1177"/>
        <v>12</v>
      </c>
      <c r="AR579" s="210">
        <f t="shared" si="1168"/>
        <v>142</v>
      </c>
      <c r="AS579" s="210">
        <f t="shared" si="1168"/>
        <v>-134</v>
      </c>
      <c r="AT579" s="265">
        <f t="shared" si="1168"/>
        <v>-121</v>
      </c>
      <c r="AU579" s="993">
        <f t="shared" si="1169"/>
        <v>-101</v>
      </c>
      <c r="AV579" s="210">
        <f t="shared" si="1169"/>
        <v>-282</v>
      </c>
      <c r="AW579" s="210">
        <f t="shared" si="1170"/>
        <v>198</v>
      </c>
      <c r="AX579" s="210">
        <f t="shared" si="1170"/>
        <v>269</v>
      </c>
      <c r="AY579" s="265">
        <f t="shared" si="1170"/>
        <v>159</v>
      </c>
      <c r="AZ579" s="993">
        <f t="shared" si="1171"/>
        <v>344</v>
      </c>
      <c r="BA579" s="210">
        <f t="shared" si="1171"/>
        <v>-24</v>
      </c>
      <c r="BB579" s="210">
        <f t="shared" si="1172"/>
        <v>-17</v>
      </c>
      <c r="BC579" s="210">
        <f t="shared" si="1172"/>
        <v>-163</v>
      </c>
      <c r="BD579" s="265">
        <f>BD526-BC526</f>
        <v>141</v>
      </c>
      <c r="BE579" s="993">
        <f t="shared" si="1173"/>
        <v>-63</v>
      </c>
      <c r="BF579" s="210">
        <f t="shared" si="1173"/>
        <v>33</v>
      </c>
      <c r="BG579" s="210">
        <f t="shared" si="1174"/>
        <v>-34</v>
      </c>
      <c r="BH579" s="553">
        <f t="shared" si="1174"/>
        <v>74</v>
      </c>
      <c r="BI579" s="210">
        <f>-(BI146-BH146)</f>
        <v>-48.374700932730775</v>
      </c>
      <c r="BJ579" s="994">
        <f t="shared" si="1175"/>
        <v>24.625299067269225</v>
      </c>
      <c r="BK579" s="210">
        <f>-(BK146-BJ146)</f>
        <v>-53.725914318370087</v>
      </c>
      <c r="BL579" s="210">
        <f>-(BL146-BK146)</f>
        <v>-57.577569471534844</v>
      </c>
      <c r="BM579" s="210">
        <f>-(BM146-BL146)</f>
        <v>-57.035837538298438</v>
      </c>
      <c r="BN579" s="210">
        <f>-(BN146-BM146)</f>
        <v>-50.069177288727587</v>
      </c>
      <c r="BO579" s="994">
        <f t="shared" si="1176"/>
        <v>-218.40849861693096</v>
      </c>
      <c r="BP579" s="994">
        <f>-(BP146-BO146)</f>
        <v>-285.76032881540232</v>
      </c>
      <c r="BQ579" s="994">
        <f>-(BQ146-BP146)</f>
        <v>-287.98113276458935</v>
      </c>
      <c r="BR579" s="994">
        <f>-(BR146-BQ146)</f>
        <v>-299.44016126530187</v>
      </c>
      <c r="BS579" s="272"/>
    </row>
    <row r="580" spans="1:71" s="61" customFormat="1" ht="15">
      <c r="A580" s="66" t="str">
        <f t="shared" si="1114"/>
        <v>Deferred acquisition costs</v>
      </c>
      <c r="B580" s="462"/>
      <c r="C580" s="994">
        <f t="shared" si="1153"/>
        <v>-3797</v>
      </c>
      <c r="D580" s="994">
        <f t="shared" si="1153"/>
        <v>-3826</v>
      </c>
      <c r="E580" s="994">
        <f t="shared" si="1153"/>
        <v>-3881</v>
      </c>
      <c r="F580" s="994">
        <f t="shared" si="1153"/>
        <v>-3914</v>
      </c>
      <c r="G580" s="994">
        <f t="shared" si="1153"/>
        <v>-3759</v>
      </c>
      <c r="H580" s="210">
        <f t="shared" si="1153"/>
        <v>-986</v>
      </c>
      <c r="I580" s="210">
        <f t="shared" si="1154"/>
        <v>-1003</v>
      </c>
      <c r="J580" s="210">
        <f t="shared" si="1154"/>
        <v>-1004</v>
      </c>
      <c r="K580" s="210">
        <f t="shared" si="1154"/>
        <v>-933</v>
      </c>
      <c r="L580" s="994">
        <f t="shared" si="1155"/>
        <v>-3926</v>
      </c>
      <c r="M580" s="210">
        <f t="shared" si="1155"/>
        <v>-987</v>
      </c>
      <c r="N580" s="210">
        <f t="shared" si="1156"/>
        <v>-1004</v>
      </c>
      <c r="O580" s="210">
        <f t="shared" si="1156"/>
        <v>-1007</v>
      </c>
      <c r="P580" s="210">
        <f t="shared" si="1156"/>
        <v>-922</v>
      </c>
      <c r="Q580" s="994">
        <f t="shared" si="1157"/>
        <v>-3920</v>
      </c>
      <c r="R580" s="210">
        <f t="shared" si="1157"/>
        <v>-1014</v>
      </c>
      <c r="S580" s="210">
        <f t="shared" si="1158"/>
        <v>-1048</v>
      </c>
      <c r="T580" s="210">
        <f t="shared" si="1158"/>
        <v>-1034</v>
      </c>
      <c r="U580" s="210">
        <f t="shared" si="1158"/>
        <v>-965</v>
      </c>
      <c r="V580" s="994">
        <f t="shared" si="1159"/>
        <v>-4061</v>
      </c>
      <c r="W580" s="210">
        <f t="shared" si="1159"/>
        <v>-1065</v>
      </c>
      <c r="X580" s="210">
        <f t="shared" si="1160"/>
        <v>-1092</v>
      </c>
      <c r="Y580" s="210">
        <f t="shared" si="1160"/>
        <v>-1080</v>
      </c>
      <c r="Z580" s="265">
        <f t="shared" si="1160"/>
        <v>-1020</v>
      </c>
      <c r="AA580" s="993">
        <f t="shared" si="1161"/>
        <v>-4257</v>
      </c>
      <c r="AB580" s="210">
        <f t="shared" si="1161"/>
        <v>-1124</v>
      </c>
      <c r="AC580" s="210">
        <f t="shared" si="1162"/>
        <v>-1160</v>
      </c>
      <c r="AD580" s="210">
        <f t="shared" si="1162"/>
        <v>-1141</v>
      </c>
      <c r="AE580" s="265">
        <f t="shared" si="1162"/>
        <v>-1063</v>
      </c>
      <c r="AF580" s="993">
        <f t="shared" si="1163"/>
        <v>-4488</v>
      </c>
      <c r="AG580" s="210">
        <f t="shared" si="1163"/>
        <v>-1185</v>
      </c>
      <c r="AH580" s="210">
        <f t="shared" si="1164"/>
        <v>-1223</v>
      </c>
      <c r="AI580" s="210">
        <f t="shared" si="1164"/>
        <v>-1211</v>
      </c>
      <c r="AJ580" s="265">
        <f t="shared" si="1164"/>
        <v>-1128</v>
      </c>
      <c r="AK580" s="993">
        <f t="shared" si="1165"/>
        <v>-4747</v>
      </c>
      <c r="AL580" s="210">
        <f t="shared" si="1165"/>
        <v>-1215</v>
      </c>
      <c r="AM580" s="210">
        <f t="shared" si="1166"/>
        <v>-1238</v>
      </c>
      <c r="AN580" s="210">
        <f t="shared" si="1166"/>
        <v>-1241</v>
      </c>
      <c r="AO580" s="265">
        <f t="shared" si="1166"/>
        <v>-1160</v>
      </c>
      <c r="AP580" s="993">
        <f t="shared" si="1178" ref="AP580:AQ580">AP527</f>
        <v>-4854</v>
      </c>
      <c r="AQ580" s="210">
        <f t="shared" si="1178"/>
        <v>-1258</v>
      </c>
      <c r="AR580" s="210">
        <f t="shared" si="1168"/>
        <v>-1343</v>
      </c>
      <c r="AS580" s="210">
        <f t="shared" si="1168"/>
        <v>-1354</v>
      </c>
      <c r="AT580" s="265">
        <f t="shared" si="1168"/>
        <v>-1272</v>
      </c>
      <c r="AU580" s="993">
        <f t="shared" si="1169"/>
        <v>-5227</v>
      </c>
      <c r="AV580" s="210">
        <f t="shared" si="1169"/>
        <v>-1413</v>
      </c>
      <c r="AW580" s="210">
        <f t="shared" si="1170"/>
        <v>-1504</v>
      </c>
      <c r="AX580" s="210">
        <f t="shared" si="1170"/>
        <v>-1502</v>
      </c>
      <c r="AY580" s="265">
        <f t="shared" si="1170"/>
        <v>-1405</v>
      </c>
      <c r="AZ580" s="993">
        <f t="shared" si="1171"/>
        <v>-5824</v>
      </c>
      <c r="BA580" s="210">
        <f t="shared" si="1171"/>
        <v>-1629</v>
      </c>
      <c r="BB580" s="210">
        <f t="shared" si="1172"/>
        <v>-1722</v>
      </c>
      <c r="BC580" s="210">
        <f t="shared" si="1172"/>
        <v>-1728</v>
      </c>
      <c r="BD580" s="265">
        <f>BD527-BC527</f>
        <v>-1610</v>
      </c>
      <c r="BE580" s="993">
        <f t="shared" si="1173"/>
        <v>-6689</v>
      </c>
      <c r="BF580" s="210">
        <f t="shared" si="1173"/>
        <v>-1776</v>
      </c>
      <c r="BG580" s="210">
        <f t="shared" si="1174"/>
        <v>-1807</v>
      </c>
      <c r="BH580" s="553">
        <f t="shared" si="1174"/>
        <v>-1856</v>
      </c>
      <c r="BI580" s="210">
        <f>-BI130</f>
        <v>-1706.7574259999999</v>
      </c>
      <c r="BJ580" s="994">
        <f t="shared" si="1175"/>
        <v>-7145.7574260000001</v>
      </c>
      <c r="BK580" s="210">
        <f>-BK130</f>
        <v>-1839.9044895000002</v>
      </c>
      <c r="BL580" s="210">
        <f>-BL130</f>
        <v>-1937.2517422500005</v>
      </c>
      <c r="BM580" s="210">
        <f>-BM130</f>
        <v>-1985.4015637500002</v>
      </c>
      <c r="BN580" s="210">
        <f>-BN130</f>
        <v>-1778.5335308400001</v>
      </c>
      <c r="BO580" s="994">
        <f t="shared" si="1176"/>
        <v>-7541.0913263400007</v>
      </c>
      <c r="BP580" s="994">
        <f>-BP130</f>
        <v>-7681.0354881776993</v>
      </c>
      <c r="BQ580" s="994">
        <f>-BQ130</f>
        <v>-7957.5260006147873</v>
      </c>
      <c r="BR580" s="994">
        <f>-BR130</f>
        <v>-8247.4718576538362</v>
      </c>
      <c r="BS580" s="272"/>
    </row>
    <row r="581" spans="1:71" s="61" customFormat="1" ht="15">
      <c r="A581" s="66" t="str">
        <f t="shared" si="1114"/>
        <v>Claims and claim adjustment expense reserves</v>
      </c>
      <c r="B581" s="462"/>
      <c r="C581" s="994">
        <f t="shared" si="1153"/>
        <v>-1596</v>
      </c>
      <c r="D581" s="994">
        <f t="shared" si="1153"/>
        <v>-1971</v>
      </c>
      <c r="E581" s="994">
        <f t="shared" si="1153"/>
        <v>-154</v>
      </c>
      <c r="F581" s="994">
        <f t="shared" si="1153"/>
        <v>-540</v>
      </c>
      <c r="G581" s="994">
        <f t="shared" si="1153"/>
        <v>-2057</v>
      </c>
      <c r="H581" s="210">
        <f t="shared" si="1153"/>
        <v>-209</v>
      </c>
      <c r="I581" s="210">
        <f t="shared" si="1154"/>
        <v>149</v>
      </c>
      <c r="J581" s="210">
        <f t="shared" si="1154"/>
        <v>-238</v>
      </c>
      <c r="K581" s="210">
        <f t="shared" si="1154"/>
        <v>-406</v>
      </c>
      <c r="L581" s="994">
        <f t="shared" si="1155"/>
        <v>-704</v>
      </c>
      <c r="M581" s="210">
        <f t="shared" si="1155"/>
        <v>-561</v>
      </c>
      <c r="N581" s="210">
        <f t="shared" si="1156"/>
        <v>-265</v>
      </c>
      <c r="O581" s="210">
        <f t="shared" si="1156"/>
        <v>-48</v>
      </c>
      <c r="P581" s="210">
        <f t="shared" si="1156"/>
        <v>-201</v>
      </c>
      <c r="Q581" s="994">
        <f t="shared" si="1157"/>
        <v>-1075</v>
      </c>
      <c r="R581" s="210">
        <f t="shared" si="1157"/>
        <v>226</v>
      </c>
      <c r="S581" s="210">
        <f t="shared" si="1158"/>
        <v>-613</v>
      </c>
      <c r="T581" s="210">
        <f t="shared" si="1158"/>
        <v>248</v>
      </c>
      <c r="U581" s="210">
        <f t="shared" si="1158"/>
        <v>-118</v>
      </c>
      <c r="V581" s="994">
        <f t="shared" si="1159"/>
        <v>-257</v>
      </c>
      <c r="W581" s="210">
        <f t="shared" si="1159"/>
        <v>334</v>
      </c>
      <c r="X581" s="210">
        <f t="shared" si="1160"/>
        <v>164</v>
      </c>
      <c r="Y581" s="210">
        <f t="shared" si="1160"/>
        <v>1063</v>
      </c>
      <c r="Z581" s="265">
        <f t="shared" si="1160"/>
        <v>-101</v>
      </c>
      <c r="AA581" s="993">
        <f t="shared" si="1161"/>
        <v>1460</v>
      </c>
      <c r="AB581" s="210">
        <f t="shared" si="1161"/>
        <v>180</v>
      </c>
      <c r="AC581" s="210">
        <f t="shared" si="1162"/>
        <v>255</v>
      </c>
      <c r="AD581" s="210">
        <f t="shared" si="1162"/>
        <v>445</v>
      </c>
      <c r="AE581" s="265">
        <f t="shared" si="1162"/>
        <v>366</v>
      </c>
      <c r="AF581" s="993">
        <f t="shared" si="1163"/>
        <v>1246</v>
      </c>
      <c r="AG581" s="210">
        <f t="shared" si="1163"/>
        <v>-2</v>
      </c>
      <c r="AH581" s="210">
        <f t="shared" si="1164"/>
        <v>331</v>
      </c>
      <c r="AI581" s="210">
        <f t="shared" si="1164"/>
        <v>598</v>
      </c>
      <c r="AJ581" s="265">
        <f t="shared" si="1164"/>
        <v>120</v>
      </c>
      <c r="AK581" s="993">
        <f t="shared" si="1165"/>
        <v>1047</v>
      </c>
      <c r="AL581" s="210">
        <f t="shared" si="1165"/>
        <v>388</v>
      </c>
      <c r="AM581" s="210">
        <f t="shared" si="1166"/>
        <v>1067</v>
      </c>
      <c r="AN581" s="210">
        <f t="shared" si="1166"/>
        <v>1218</v>
      </c>
      <c r="AO581" s="265">
        <f t="shared" si="1166"/>
        <v>-51</v>
      </c>
      <c r="AP581" s="993">
        <f t="shared" si="1179" ref="AP581:AQ581">AP528</f>
        <v>2622</v>
      </c>
      <c r="AQ581" s="210">
        <f t="shared" si="1179"/>
        <v>777</v>
      </c>
      <c r="AR581" s="210">
        <f t="shared" si="1168"/>
        <v>536</v>
      </c>
      <c r="AS581" s="210">
        <f t="shared" si="1168"/>
        <v>986</v>
      </c>
      <c r="AT581" s="265">
        <f t="shared" si="1168"/>
        <v>89</v>
      </c>
      <c r="AU581" s="993">
        <f t="shared" si="1169"/>
        <v>2388</v>
      </c>
      <c r="AV581" s="210">
        <f t="shared" si="1169"/>
        <v>679</v>
      </c>
      <c r="AW581" s="210">
        <f t="shared" si="1170"/>
        <v>593</v>
      </c>
      <c r="AX581" s="210">
        <f t="shared" si="1170"/>
        <v>422</v>
      </c>
      <c r="AY581" s="265">
        <f t="shared" si="1170"/>
        <v>356</v>
      </c>
      <c r="AZ581" s="993">
        <f t="shared" si="1171"/>
        <v>2050</v>
      </c>
      <c r="BA581" s="210">
        <f t="shared" si="1171"/>
        <v>381</v>
      </c>
      <c r="BB581" s="210">
        <f t="shared" si="1172"/>
        <v>1413</v>
      </c>
      <c r="BC581" s="210">
        <f t="shared" si="1172"/>
        <v>1259</v>
      </c>
      <c r="BD581" s="265">
        <f>BD528-BC528</f>
        <v>-210</v>
      </c>
      <c r="BE581" s="993">
        <f t="shared" si="1173"/>
        <v>2843</v>
      </c>
      <c r="BF581" s="210">
        <f t="shared" si="1173"/>
        <v>928</v>
      </c>
      <c r="BG581" s="210">
        <f t="shared" si="1174"/>
        <v>1384</v>
      </c>
      <c r="BH581" s="553">
        <f t="shared" si="1174"/>
        <v>755</v>
      </c>
      <c r="BI581" s="210">
        <f>BI145-BH145</f>
        <v>1015.4040629999945</v>
      </c>
      <c r="BJ581" s="994">
        <f t="shared" si="1175"/>
        <v>4082.4040629999945</v>
      </c>
      <c r="BK581" s="210">
        <f>BK145-BJ145</f>
        <v>1083.3443130000087</v>
      </c>
      <c r="BL581" s="210">
        <f>BL145-BK145</f>
        <v>1210.6230269999942</v>
      </c>
      <c r="BM581" s="210">
        <f>BM145-BL145</f>
        <v>1212.0361100000009</v>
      </c>
      <c r="BN581" s="210">
        <f>BN145-BM145</f>
        <v>1057.756011999998</v>
      </c>
      <c r="BO581" s="994">
        <f t="shared" si="1176"/>
        <v>4563.7594620000018</v>
      </c>
      <c r="BP581" s="994">
        <f>BP145-BO145</f>
        <v>4675.249788000001</v>
      </c>
      <c r="BQ581" s="994">
        <f>BQ145-BP145</f>
        <v>4764.7570620000042</v>
      </c>
      <c r="BR581" s="994">
        <f>BR145-BQ145</f>
        <v>5011.1979779999965</v>
      </c>
      <c r="BS581" s="272"/>
    </row>
    <row r="582" spans="1:71" s="61" customFormat="1" ht="15">
      <c r="A582" s="66" t="str">
        <f t="shared" si="1114"/>
        <v>Unearned premium reserves</v>
      </c>
      <c r="B582" s="462"/>
      <c r="C582" s="994">
        <f t="shared" si="1153"/>
        <v>-96</v>
      </c>
      <c r="D582" s="994">
        <f t="shared" si="1153"/>
        <v>63</v>
      </c>
      <c r="E582" s="994">
        <f t="shared" si="1153"/>
        <v>188</v>
      </c>
      <c r="F582" s="994">
        <f t="shared" si="1153"/>
        <v>123</v>
      </c>
      <c r="G582" s="994">
        <f t="shared" si="1153"/>
        <v>27</v>
      </c>
      <c r="H582" s="210">
        <f t="shared" si="1153"/>
        <v>94</v>
      </c>
      <c r="I582" s="210">
        <f t="shared" si="1154"/>
        <v>141</v>
      </c>
      <c r="J582" s="210">
        <f t="shared" si="1154"/>
        <v>144</v>
      </c>
      <c r="K582" s="210">
        <f t="shared" si="1154"/>
        <v>-306</v>
      </c>
      <c r="L582" s="994">
        <f t="shared" si="1155"/>
        <v>73</v>
      </c>
      <c r="M582" s="210">
        <f t="shared" si="1155"/>
        <v>185</v>
      </c>
      <c r="N582" s="210">
        <f t="shared" si="1156"/>
        <v>177</v>
      </c>
      <c r="O582" s="210">
        <f t="shared" si="1156"/>
        <v>180</v>
      </c>
      <c r="P582" s="210">
        <f t="shared" si="1156"/>
        <v>-294</v>
      </c>
      <c r="Q582" s="994">
        <f t="shared" si="1157"/>
        <v>248</v>
      </c>
      <c r="R582" s="210">
        <f t="shared" si="1157"/>
        <v>328</v>
      </c>
      <c r="S582" s="210">
        <f t="shared" si="1158"/>
        <v>203</v>
      </c>
      <c r="T582" s="210">
        <f t="shared" si="1158"/>
        <v>194</v>
      </c>
      <c r="U582" s="210">
        <f t="shared" si="1158"/>
        <v>-353</v>
      </c>
      <c r="V582" s="994">
        <f t="shared" si="1159"/>
        <v>372</v>
      </c>
      <c r="W582" s="210">
        <f t="shared" si="1159"/>
        <v>475</v>
      </c>
      <c r="X582" s="210">
        <f t="shared" si="1160"/>
        <v>214</v>
      </c>
      <c r="Y582" s="210">
        <f t="shared" si="1160"/>
        <v>163</v>
      </c>
      <c r="Z582" s="265">
        <f t="shared" si="1160"/>
        <v>-331</v>
      </c>
      <c r="AA582" s="993">
        <f t="shared" si="1161"/>
        <v>521</v>
      </c>
      <c r="AB582" s="210">
        <f t="shared" si="1161"/>
        <v>518</v>
      </c>
      <c r="AC582" s="210">
        <f t="shared" si="1162"/>
        <v>361</v>
      </c>
      <c r="AD582" s="210">
        <f t="shared" si="1162"/>
        <v>216</v>
      </c>
      <c r="AE582" s="265">
        <f t="shared" si="1162"/>
        <v>-385</v>
      </c>
      <c r="AF582" s="993">
        <f t="shared" si="1163"/>
        <v>710</v>
      </c>
      <c r="AG582" s="210">
        <f t="shared" si="1163"/>
        <v>551</v>
      </c>
      <c r="AH582" s="210">
        <f t="shared" si="1164"/>
        <v>407</v>
      </c>
      <c r="AI582" s="210">
        <f t="shared" si="1164"/>
        <v>392</v>
      </c>
      <c r="AJ582" s="265">
        <f t="shared" si="1164"/>
        <v>-342</v>
      </c>
      <c r="AK582" s="993">
        <f t="shared" si="1165"/>
        <v>1008</v>
      </c>
      <c r="AL582" s="210">
        <f t="shared" si="1165"/>
        <v>414</v>
      </c>
      <c r="AM582" s="210">
        <f t="shared" si="1166"/>
        <v>229</v>
      </c>
      <c r="AN582" s="210">
        <f t="shared" si="1166"/>
        <v>317</v>
      </c>
      <c r="AO582" s="265">
        <f t="shared" si="1166"/>
        <v>-368</v>
      </c>
      <c r="AP582" s="993">
        <f t="shared" si="1180" ref="AP582:AQ582">AP529</f>
        <v>592</v>
      </c>
      <c r="AQ582" s="210">
        <f t="shared" si="1180"/>
        <v>509</v>
      </c>
      <c r="AR582" s="210">
        <f t="shared" si="1168"/>
        <v>459</v>
      </c>
      <c r="AS582" s="210">
        <f t="shared" si="1168"/>
        <v>492</v>
      </c>
      <c r="AT582" s="265">
        <f t="shared" si="1168"/>
        <v>-211</v>
      </c>
      <c r="AU582" s="993">
        <f t="shared" si="1169"/>
        <v>1249</v>
      </c>
      <c r="AV582" s="210">
        <f t="shared" si="1169"/>
        <v>727</v>
      </c>
      <c r="AW582" s="210">
        <f t="shared" si="1170"/>
        <v>671</v>
      </c>
      <c r="AX582" s="210">
        <f t="shared" si="1170"/>
        <v>635</v>
      </c>
      <c r="AY582" s="265">
        <f t="shared" si="1170"/>
        <v>-171</v>
      </c>
      <c r="AZ582" s="993">
        <f t="shared" si="1171"/>
        <v>1862</v>
      </c>
      <c r="BA582" s="210">
        <f t="shared" si="1171"/>
        <v>893</v>
      </c>
      <c r="BB582" s="210">
        <f t="shared" si="1172"/>
        <v>1042</v>
      </c>
      <c r="BC582" s="210">
        <f t="shared" si="1172"/>
        <v>882</v>
      </c>
      <c r="BD582" s="265">
        <f>BD529-BC529</f>
        <v>-227</v>
      </c>
      <c r="BE582" s="993">
        <f t="shared" si="1173"/>
        <v>2590</v>
      </c>
      <c r="BF582" s="210">
        <f t="shared" si="1173"/>
        <v>457</v>
      </c>
      <c r="BG582" s="210">
        <f t="shared" si="1174"/>
        <v>788</v>
      </c>
      <c r="BH582" s="553">
        <f t="shared" si="1174"/>
        <v>659</v>
      </c>
      <c r="BI582" s="210">
        <f>BI136-BH136</f>
        <v>163.47680000000037</v>
      </c>
      <c r="BJ582" s="994">
        <f t="shared" si="1175"/>
        <v>2067.4768000000004</v>
      </c>
      <c r="BK582" s="210">
        <f>BK136-BJ136</f>
        <v>361.26900000000023</v>
      </c>
      <c r="BL582" s="210">
        <f>BL136-BK136</f>
        <v>181.62069999999949</v>
      </c>
      <c r="BM582" s="210">
        <f>BM136-BL136</f>
        <v>186.57549999999901</v>
      </c>
      <c r="BN582" s="210">
        <f>BN136-BM136</f>
        <v>169.65342199999941</v>
      </c>
      <c r="BO582" s="994">
        <f t="shared" si="1176"/>
        <v>899.11862199999814</v>
      </c>
      <c r="BP582" s="994">
        <f>BP136-BO136</f>
        <v>1579.5921960000014</v>
      </c>
      <c r="BQ582" s="994">
        <f>BQ136-BP136</f>
        <v>1645.7889770000002</v>
      </c>
      <c r="BR582" s="994">
        <f>BR136-BQ136</f>
        <v>1715.3855640000002</v>
      </c>
      <c r="BS582" s="272"/>
    </row>
    <row r="583" spans="1:71" s="61" customFormat="1" ht="15">
      <c r="A583" s="66" t="s">
        <v>199</v>
      </c>
      <c r="B583" s="462"/>
      <c r="C583" s="994"/>
      <c r="D583" s="994"/>
      <c r="E583" s="994"/>
      <c r="F583" s="994"/>
      <c r="G583" s="994"/>
      <c r="H583" s="210"/>
      <c r="I583" s="210"/>
      <c r="J583" s="210"/>
      <c r="K583" s="210"/>
      <c r="L583" s="994"/>
      <c r="M583" s="210"/>
      <c r="N583" s="210"/>
      <c r="O583" s="210"/>
      <c r="P583" s="210"/>
      <c r="Q583" s="994"/>
      <c r="R583" s="210"/>
      <c r="S583" s="210"/>
      <c r="T583" s="210"/>
      <c r="U583" s="210"/>
      <c r="V583" s="994"/>
      <c r="W583" s="210"/>
      <c r="X583" s="210"/>
      <c r="Y583" s="210"/>
      <c r="Z583" s="210"/>
      <c r="AA583" s="994"/>
      <c r="AB583" s="210"/>
      <c r="AC583" s="210"/>
      <c r="AD583" s="210"/>
      <c r="AE583" s="210"/>
      <c r="AF583" s="994"/>
      <c r="AG583" s="210"/>
      <c r="AH583" s="210"/>
      <c r="AI583" s="210"/>
      <c r="AJ583" s="210"/>
      <c r="AK583" s="994"/>
      <c r="AL583" s="210"/>
      <c r="AM583" s="210"/>
      <c r="AN583" s="210"/>
      <c r="AO583" s="210"/>
      <c r="AP583" s="994"/>
      <c r="AQ583" s="210"/>
      <c r="AR583" s="210"/>
      <c r="AS583" s="210"/>
      <c r="AT583" s="210"/>
      <c r="AU583" s="994"/>
      <c r="AV583" s="210"/>
      <c r="AW583" s="210"/>
      <c r="AX583" s="210"/>
      <c r="AY583" s="210"/>
      <c r="AZ583" s="994"/>
      <c r="BA583" s="210"/>
      <c r="BB583" s="210"/>
      <c r="BC583" s="210"/>
      <c r="BD583" s="210"/>
      <c r="BE583" s="994"/>
      <c r="BF583" s="210"/>
      <c r="BG583" s="210"/>
      <c r="BH583" s="553"/>
      <c r="BI583" s="210">
        <f>-(BI137-BH137)</f>
        <v>-8.9953060000000278</v>
      </c>
      <c r="BJ583" s="994">
        <f t="shared" si="1175"/>
        <v>-8.9953060000000278</v>
      </c>
      <c r="BK583" s="210">
        <f>-(BK137-BJ137)</f>
        <v>-16.792226000000028</v>
      </c>
      <c r="BL583" s="210">
        <f>-(BL137-BK137)</f>
        <v>-9.9436359999999695</v>
      </c>
      <c r="BM583" s="210">
        <f>-(BM137-BL137)</f>
        <v>-10.150470000000041</v>
      </c>
      <c r="BN583" s="210">
        <f>-(BN137-BM137)</f>
        <v>-9.2906120000000101</v>
      </c>
      <c r="BO583" s="994">
        <f t="shared" si="1176"/>
        <v>-46.176944000000049</v>
      </c>
      <c r="BP583" s="994">
        <f>-(BP137-BO137)</f>
        <v>-85.105669000000034</v>
      </c>
      <c r="BQ583" s="994">
        <f>-(BQ137-BP137)</f>
        <v>-87.554781999999932</v>
      </c>
      <c r="BR583" s="994">
        <f>-(BR137-BQ137)</f>
        <v>-90.101668000000018</v>
      </c>
      <c r="BS583" s="272"/>
    </row>
    <row r="584" spans="1:71" s="61" customFormat="1" ht="15">
      <c r="A584" s="343" t="str">
        <f>A531</f>
        <v>Other</v>
      </c>
      <c r="B584" s="478"/>
      <c r="C584" s="996">
        <f t="shared" si="1181" ref="C584:H584">C531</f>
        <v>-614</v>
      </c>
      <c r="D584" s="996">
        <f t="shared" si="1181"/>
        <v>53</v>
      </c>
      <c r="E584" s="996">
        <f t="shared" si="1181"/>
        <v>-387</v>
      </c>
      <c r="F584" s="996">
        <f t="shared" si="1181"/>
        <v>206</v>
      </c>
      <c r="G584" s="996">
        <f t="shared" si="1181"/>
        <v>262</v>
      </c>
      <c r="H584" s="205">
        <f t="shared" si="1181"/>
        <v>-355</v>
      </c>
      <c r="I584" s="205">
        <f>I531-H531</f>
        <v>-195</v>
      </c>
      <c r="J584" s="205">
        <f>J531-I531</f>
        <v>731</v>
      </c>
      <c r="K584" s="205">
        <f>K531-J531</f>
        <v>-118</v>
      </c>
      <c r="L584" s="996">
        <f>L531</f>
        <v>63</v>
      </c>
      <c r="M584" s="205">
        <f>M531</f>
        <v>-350</v>
      </c>
      <c r="N584" s="205">
        <f>N531-M531</f>
        <v>-85</v>
      </c>
      <c r="O584" s="205">
        <f>O531-N531</f>
        <v>530</v>
      </c>
      <c r="P584" s="205">
        <f>P531-O531</f>
        <v>-39</v>
      </c>
      <c r="Q584" s="996">
        <f>Q531</f>
        <v>56</v>
      </c>
      <c r="R584" s="205">
        <f>R531</f>
        <v>-395</v>
      </c>
      <c r="S584" s="205">
        <f>S531-R531</f>
        <v>108</v>
      </c>
      <c r="T584" s="205">
        <f>T531-S531</f>
        <v>403</v>
      </c>
      <c r="U584" s="205">
        <f>U531-T531</f>
        <v>73</v>
      </c>
      <c r="V584" s="996">
        <f>V531</f>
        <v>189</v>
      </c>
      <c r="W584" s="205">
        <f>W531</f>
        <v>-645</v>
      </c>
      <c r="X584" s="205">
        <f>X531-W531</f>
        <v>185</v>
      </c>
      <c r="Y584" s="205">
        <f>Y531-X531</f>
        <v>192</v>
      </c>
      <c r="Z584" s="186">
        <f>Z531-Y531</f>
        <v>-75</v>
      </c>
      <c r="AA584" s="995">
        <f>AA531</f>
        <v>-343</v>
      </c>
      <c r="AB584" s="205">
        <f>AB531</f>
        <v>-430</v>
      </c>
      <c r="AC584" s="205">
        <f>AC531-AB531</f>
        <v>247</v>
      </c>
      <c r="AD584" s="205">
        <f>AD531-AC531</f>
        <v>205</v>
      </c>
      <c r="AE584" s="186">
        <f>AE531-AD531</f>
        <v>168</v>
      </c>
      <c r="AF584" s="995">
        <f>AF531</f>
        <v>190</v>
      </c>
      <c r="AG584" s="205">
        <f>AG531</f>
        <v>-458</v>
      </c>
      <c r="AH584" s="205">
        <f>AH531-AG531</f>
        <v>194</v>
      </c>
      <c r="AI584" s="205">
        <f>AI531-AH531</f>
        <v>355</v>
      </c>
      <c r="AJ584" s="186">
        <f>AJ531-AI531</f>
        <v>444</v>
      </c>
      <c r="AK584" s="995">
        <f>AK531</f>
        <v>535</v>
      </c>
      <c r="AL584" s="205">
        <f>AL531</f>
        <v>-636</v>
      </c>
      <c r="AM584" s="205">
        <f>AM531-AL531</f>
        <v>292</v>
      </c>
      <c r="AN584" s="205">
        <f>AN531-AM531</f>
        <v>-38</v>
      </c>
      <c r="AO584" s="186">
        <f>AO531-AN531</f>
        <v>511</v>
      </c>
      <c r="AP584" s="995">
        <f>AP531</f>
        <v>129</v>
      </c>
      <c r="AQ584" s="205">
        <f>AQ531</f>
        <v>-504</v>
      </c>
      <c r="AR584" s="205">
        <f>AR531-AQ531</f>
        <v>410</v>
      </c>
      <c r="AS584" s="205">
        <f>AS531-AR531</f>
        <v>407</v>
      </c>
      <c r="AT584" s="186">
        <f>AT531-AS531</f>
        <v>437</v>
      </c>
      <c r="AU584" s="995">
        <f>AU531</f>
        <v>750</v>
      </c>
      <c r="AV584" s="205">
        <f>AV531</f>
        <v>-443</v>
      </c>
      <c r="AW584" s="205">
        <f>AW531-AV531</f>
        <v>3</v>
      </c>
      <c r="AX584" s="205">
        <f>AX531-AW531</f>
        <v>428</v>
      </c>
      <c r="AY584" s="186">
        <f>AY531-AX531</f>
        <v>57</v>
      </c>
      <c r="AZ584" s="995">
        <f>AZ531</f>
        <v>45</v>
      </c>
      <c r="BA584" s="205">
        <f>BA531</f>
        <v>-689</v>
      </c>
      <c r="BB584" s="205">
        <f>BB531-BA531</f>
        <v>97</v>
      </c>
      <c r="BC584" s="205">
        <f>BC531-BB531</f>
        <v>689</v>
      </c>
      <c r="BD584" s="186">
        <f>BD531-BC531</f>
        <v>550</v>
      </c>
      <c r="BE584" s="995">
        <f>BE531</f>
        <v>647</v>
      </c>
      <c r="BF584" s="205">
        <f>BF531</f>
        <v>-583</v>
      </c>
      <c r="BG584" s="205">
        <f>BG531-BF531</f>
        <v>-275</v>
      </c>
      <c r="BH584" s="658">
        <f>BH531-BG531</f>
        <v>962</v>
      </c>
      <c r="BI584" s="205"/>
      <c r="BJ584" s="996">
        <f t="shared" si="1175"/>
        <v>104</v>
      </c>
      <c r="BK584" s="205"/>
      <c r="BL584" s="205"/>
      <c r="BM584" s="205"/>
      <c r="BN584" s="205"/>
      <c r="BO584" s="996">
        <f t="shared" si="1176"/>
        <v>0</v>
      </c>
      <c r="BP584" s="996"/>
      <c r="BQ584" s="996"/>
      <c r="BR584" s="996"/>
      <c r="BS584" s="272"/>
    </row>
    <row r="585" spans="1:71" s="65" customFormat="1" ht="15">
      <c r="A585" s="108" t="str">
        <f>A532</f>
        <v>Net CFO</v>
      </c>
      <c r="B585" s="479"/>
      <c r="C585" s="998">
        <f t="shared" si="1182" ref="C585:AM585">SUM(C577:C584)</f>
        <v>4231</v>
      </c>
      <c r="D585" s="998">
        <f t="shared" si="1182"/>
        <v>3054</v>
      </c>
      <c r="E585" s="998">
        <f t="shared" si="1182"/>
        <v>2169</v>
      </c>
      <c r="F585" s="998">
        <f t="shared" si="1182"/>
        <v>3230</v>
      </c>
      <c r="G585" s="998">
        <f t="shared" si="1182"/>
        <v>3816</v>
      </c>
      <c r="H585" s="194">
        <f t="shared" si="1182"/>
        <v>703</v>
      </c>
      <c r="I585" s="194">
        <f t="shared" si="1182"/>
        <v>625</v>
      </c>
      <c r="J585" s="194">
        <f t="shared" si="1182"/>
        <v>1840</v>
      </c>
      <c r="K585" s="194">
        <f t="shared" si="1182"/>
        <v>525</v>
      </c>
      <c r="L585" s="998">
        <f t="shared" si="1182"/>
        <v>3693</v>
      </c>
      <c r="M585" s="194">
        <f t="shared" si="1182"/>
        <v>199</v>
      </c>
      <c r="N585" s="194">
        <f t="shared" si="1182"/>
        <v>676</v>
      </c>
      <c r="O585" s="194">
        <f t="shared" si="1182"/>
        <v>1799</v>
      </c>
      <c r="P585" s="194">
        <f t="shared" si="1182"/>
        <v>760</v>
      </c>
      <c r="Q585" s="998">
        <f t="shared" si="1182"/>
        <v>3434</v>
      </c>
      <c r="R585" s="194">
        <f t="shared" si="1182"/>
        <v>850</v>
      </c>
      <c r="S585" s="194">
        <f t="shared" si="1182"/>
        <v>443</v>
      </c>
      <c r="T585" s="194">
        <f t="shared" si="1182"/>
        <v>1770</v>
      </c>
      <c r="U585" s="194">
        <f t="shared" si="1182"/>
        <v>1139</v>
      </c>
      <c r="V585" s="998">
        <f t="shared" si="1182"/>
        <v>4202</v>
      </c>
      <c r="W585" s="194">
        <f t="shared" si="1182"/>
        <v>775</v>
      </c>
      <c r="X585" s="194">
        <f t="shared" si="1182"/>
        <v>810</v>
      </c>
      <c r="Y585" s="194">
        <f t="shared" si="1182"/>
        <v>1639</v>
      </c>
      <c r="Z585" s="193">
        <f t="shared" si="1182"/>
        <v>538</v>
      </c>
      <c r="AA585" s="997">
        <f t="shared" si="1182"/>
        <v>3762</v>
      </c>
      <c r="AB585" s="194">
        <f t="shared" si="1182"/>
        <v>554</v>
      </c>
      <c r="AC585" s="194">
        <f t="shared" si="1182"/>
        <v>1144</v>
      </c>
      <c r="AD585" s="194">
        <f t="shared" si="1182"/>
        <v>1734</v>
      </c>
      <c r="AE585" s="193">
        <f t="shared" si="1182"/>
        <v>948</v>
      </c>
      <c r="AF585" s="997">
        <f t="shared" si="1182"/>
        <v>4380</v>
      </c>
      <c r="AG585" s="194">
        <f t="shared" si="1182"/>
        <v>639</v>
      </c>
      <c r="AH585" s="194">
        <f t="shared" si="1182"/>
        <v>1153</v>
      </c>
      <c r="AI585" s="194">
        <f t="shared" si="1182"/>
        <v>2001</v>
      </c>
      <c r="AJ585" s="193">
        <f t="shared" si="1182"/>
        <v>1412</v>
      </c>
      <c r="AK585" s="997">
        <f t="shared" si="1182"/>
        <v>5205</v>
      </c>
      <c r="AL585" s="194">
        <f t="shared" si="1182"/>
        <v>628</v>
      </c>
      <c r="AM585" s="194">
        <f t="shared" si="1182"/>
        <v>1664</v>
      </c>
      <c r="AN585" s="194">
        <f>SUM(AN577:AN584)</f>
        <v>2326</v>
      </c>
      <c r="AO585" s="193">
        <f t="shared" si="1183" ref="AO585:AP585">SUM(AO577:AO584)</f>
        <v>1901</v>
      </c>
      <c r="AP585" s="997">
        <f t="shared" si="1183"/>
        <v>6519</v>
      </c>
      <c r="AQ585" s="194">
        <f t="shared" si="1184" ref="AQ585">SUM(AQ577:AQ584)</f>
        <v>1190</v>
      </c>
      <c r="AR585" s="194">
        <f t="shared" si="1185" ref="AR585:AW585">SUM(AR577:AR584)</f>
        <v>1849</v>
      </c>
      <c r="AS585" s="194">
        <f t="shared" si="1185"/>
        <v>2543</v>
      </c>
      <c r="AT585" s="193">
        <f t="shared" si="1185"/>
        <v>1692</v>
      </c>
      <c r="AU585" s="997">
        <f t="shared" si="1185"/>
        <v>7274</v>
      </c>
      <c r="AV585" s="194">
        <f t="shared" si="1185"/>
        <v>1266</v>
      </c>
      <c r="AW585" s="194">
        <f t="shared" si="1185"/>
        <v>1375</v>
      </c>
      <c r="AX585" s="194">
        <f t="shared" si="1186" ref="AX585:BJ585">SUM(AX577:AX584)</f>
        <v>2484</v>
      </c>
      <c r="AY585" s="193">
        <f t="shared" si="1186"/>
        <v>1340</v>
      </c>
      <c r="AZ585" s="997">
        <f t="shared" si="1186"/>
        <v>6465</v>
      </c>
      <c r="BA585" s="194">
        <f t="shared" si="1187" ref="BA585:BI585">SUM(BA577:BA584)</f>
        <v>1012</v>
      </c>
      <c r="BB585" s="194">
        <f t="shared" si="1187"/>
        <v>1549</v>
      </c>
      <c r="BC585" s="194">
        <f t="shared" si="1187"/>
        <v>3046</v>
      </c>
      <c r="BD585" s="193">
        <f t="shared" si="1187"/>
        <v>2104</v>
      </c>
      <c r="BE585" s="997">
        <f t="shared" si="1187"/>
        <v>7711</v>
      </c>
      <c r="BF585" s="194">
        <f>SUM(BF577:BF584)</f>
        <v>1458</v>
      </c>
      <c r="BG585" s="194">
        <f>SUM(BG577:BG584)</f>
        <v>1677</v>
      </c>
      <c r="BH585" s="962">
        <f>SUM(BH577:BH584)</f>
        <v>3875</v>
      </c>
      <c r="BI585" s="194">
        <f t="shared" si="1187"/>
        <v>2456.1870220785677</v>
      </c>
      <c r="BJ585" s="998">
        <f t="shared" si="1186"/>
        <v>9466.1870220785677</v>
      </c>
      <c r="BK585" s="194">
        <f t="shared" si="1188" ref="BK585:BR585">SUM(BK577:BK584)</f>
        <v>2600.6281152569672</v>
      </c>
      <c r="BL585" s="194">
        <f t="shared" si="1188"/>
        <v>2163.6600526456405</v>
      </c>
      <c r="BM585" s="194">
        <f t="shared" si="1188"/>
        <v>2360.2766512523026</v>
      </c>
      <c r="BN585" s="194">
        <f t="shared" si="1188"/>
        <v>2569.574969053434</v>
      </c>
      <c r="BO585" s="998">
        <f t="shared" si="1188"/>
        <v>9694.139788208342</v>
      </c>
      <c r="BP585" s="998">
        <f t="shared" si="1188"/>
        <v>10755.671975758411</v>
      </c>
      <c r="BQ585" s="998">
        <f t="shared" si="1188"/>
        <v>10966.754163329339</v>
      </c>
      <c r="BR585" s="998">
        <f t="shared" si="1188"/>
        <v>11070.211866059639</v>
      </c>
      <c r="BS585" s="271"/>
    </row>
    <row r="586" spans="1:71" s="65" customFormat="1" ht="15">
      <c r="A586" s="453"/>
      <c r="B586" s="480"/>
      <c r="C586" s="1009"/>
      <c r="D586" s="1009"/>
      <c r="E586" s="1009"/>
      <c r="F586" s="1009"/>
      <c r="G586" s="1009"/>
      <c r="H586" s="199"/>
      <c r="I586" s="199"/>
      <c r="J586" s="199"/>
      <c r="K586" s="199"/>
      <c r="L586" s="1009"/>
      <c r="M586" s="199"/>
      <c r="N586" s="199"/>
      <c r="O586" s="199"/>
      <c r="P586" s="199"/>
      <c r="Q586" s="1009"/>
      <c r="R586" s="199"/>
      <c r="S586" s="199"/>
      <c r="T586" s="199"/>
      <c r="U586" s="199"/>
      <c r="V586" s="1009"/>
      <c r="W586" s="199"/>
      <c r="X586" s="199"/>
      <c r="Y586" s="199"/>
      <c r="Z586" s="199"/>
      <c r="AA586" s="1009"/>
      <c r="AB586" s="199"/>
      <c r="AC586" s="199"/>
      <c r="AD586" s="199"/>
      <c r="AE586" s="199"/>
      <c r="AF586" s="1009"/>
      <c r="AG586" s="199"/>
      <c r="AH586" s="199"/>
      <c r="AI586" s="199"/>
      <c r="AJ586" s="199"/>
      <c r="AK586" s="1009"/>
      <c r="AL586" s="199"/>
      <c r="AM586" s="199"/>
      <c r="AN586" s="199"/>
      <c r="AO586" s="199"/>
      <c r="AP586" s="1009"/>
      <c r="AQ586" s="199"/>
      <c r="AR586" s="199"/>
      <c r="AS586" s="199"/>
      <c r="AT586" s="199"/>
      <c r="AU586" s="1009"/>
      <c r="AV586" s="199"/>
      <c r="AW586" s="199"/>
      <c r="AX586" s="199"/>
      <c r="AY586" s="199"/>
      <c r="AZ586" s="1009"/>
      <c r="BA586" s="199"/>
      <c r="BB586" s="199"/>
      <c r="BC586" s="199"/>
      <c r="BD586" s="199"/>
      <c r="BE586" s="1009"/>
      <c r="BF586" s="199"/>
      <c r="BG586" s="199"/>
      <c r="BH586" s="554"/>
      <c r="BI586" s="199"/>
      <c r="BJ586" s="1009"/>
      <c r="BK586" s="199"/>
      <c r="BL586" s="199"/>
      <c r="BM586" s="199"/>
      <c r="BN586" s="199"/>
      <c r="BO586" s="1009"/>
      <c r="BP586" s="1009"/>
      <c r="BQ586" s="1009"/>
      <c r="BR586" s="1009"/>
      <c r="BS586" s="271"/>
    </row>
    <row r="587" spans="1:71" s="65" customFormat="1" ht="15">
      <c r="A587" s="67" t="str">
        <f t="shared" si="1189" ref="A587:A601">A534</f>
        <v>CFI</v>
      </c>
      <c r="B587" s="480"/>
      <c r="C587" s="1009"/>
      <c r="D587" s="1009"/>
      <c r="E587" s="1009"/>
      <c r="F587" s="1009"/>
      <c r="G587" s="1009"/>
      <c r="H587" s="199"/>
      <c r="I587" s="199"/>
      <c r="J587" s="199"/>
      <c r="K587" s="199"/>
      <c r="L587" s="1009"/>
      <c r="M587" s="199"/>
      <c r="N587" s="199"/>
      <c r="O587" s="199"/>
      <c r="P587" s="199"/>
      <c r="Q587" s="1009"/>
      <c r="R587" s="199"/>
      <c r="S587" s="199"/>
      <c r="T587" s="199"/>
      <c r="U587" s="199"/>
      <c r="V587" s="1009"/>
      <c r="W587" s="199"/>
      <c r="X587" s="199"/>
      <c r="Y587" s="199"/>
      <c r="Z587" s="199"/>
      <c r="AA587" s="1009"/>
      <c r="AB587" s="199"/>
      <c r="AC587" s="199"/>
      <c r="AD587" s="199"/>
      <c r="AE587" s="199"/>
      <c r="AF587" s="1009"/>
      <c r="AG587" s="199"/>
      <c r="AH587" s="199"/>
      <c r="AI587" s="199"/>
      <c r="AJ587" s="199"/>
      <c r="AK587" s="1009"/>
      <c r="AL587" s="199"/>
      <c r="AM587" s="199"/>
      <c r="AN587" s="199"/>
      <c r="AO587" s="199"/>
      <c r="AP587" s="1009"/>
      <c r="AQ587" s="199"/>
      <c r="AR587" s="199"/>
      <c r="AS587" s="199"/>
      <c r="AT587" s="199"/>
      <c r="AU587" s="1009"/>
      <c r="AV587" s="199"/>
      <c r="AW587" s="199"/>
      <c r="AX587" s="199"/>
      <c r="AY587" s="199"/>
      <c r="AZ587" s="1009"/>
      <c r="BA587" s="199"/>
      <c r="BB587" s="199"/>
      <c r="BC587" s="199"/>
      <c r="BD587" s="199"/>
      <c r="BE587" s="1009"/>
      <c r="BF587" s="199"/>
      <c r="BG587" s="199"/>
      <c r="BH587" s="554"/>
      <c r="BI587" s="199"/>
      <c r="BJ587" s="1009"/>
      <c r="BK587" s="199"/>
      <c r="BL587" s="199"/>
      <c r="BM587" s="199"/>
      <c r="BN587" s="199"/>
      <c r="BO587" s="1009"/>
      <c r="BP587" s="1009"/>
      <c r="BQ587" s="1009"/>
      <c r="BR587" s="1009"/>
      <c r="BS587" s="271"/>
    </row>
    <row r="588" spans="1:71" s="61" customFormat="1" ht="15">
      <c r="A588" s="66" t="str">
        <f t="shared" si="1189"/>
        <v>Proceeds from maturities of fixed maturities</v>
      </c>
      <c r="B588" s="462"/>
      <c r="C588" s="994">
        <f t="shared" si="1190" ref="C588:H600">C535</f>
        <v>5316</v>
      </c>
      <c r="D588" s="994">
        <f t="shared" si="1190"/>
        <v>5896</v>
      </c>
      <c r="E588" s="994">
        <f t="shared" si="1190"/>
        <v>7404</v>
      </c>
      <c r="F588" s="994">
        <f t="shared" si="1190"/>
        <v>8369</v>
      </c>
      <c r="G588" s="994">
        <f t="shared" si="1190"/>
        <v>7904</v>
      </c>
      <c r="H588" s="210">
        <f t="shared" si="1190"/>
        <v>2312</v>
      </c>
      <c r="I588" s="210">
        <f t="shared" si="1191" ref="I588:K600">I535-H535</f>
        <v>2603</v>
      </c>
      <c r="J588" s="210">
        <f t="shared" si="1191"/>
        <v>3060</v>
      </c>
      <c r="K588" s="210">
        <f t="shared" si="1191"/>
        <v>2919</v>
      </c>
      <c r="L588" s="994">
        <f t="shared" si="1192" ref="L588:M600">L535</f>
        <v>10894</v>
      </c>
      <c r="M588" s="210">
        <f t="shared" si="1192"/>
        <v>2830</v>
      </c>
      <c r="N588" s="210">
        <f t="shared" si="1193" ref="N588:P600">N535-M535</f>
        <v>2484</v>
      </c>
      <c r="O588" s="210">
        <f t="shared" si="1193"/>
        <v>3491</v>
      </c>
      <c r="P588" s="210">
        <f t="shared" si="1193"/>
        <v>2311</v>
      </c>
      <c r="Q588" s="994">
        <f t="shared" si="1194" ref="Q588:R600">Q535</f>
        <v>11116</v>
      </c>
      <c r="R588" s="210">
        <f t="shared" si="1194"/>
        <v>1748</v>
      </c>
      <c r="S588" s="210">
        <f t="shared" si="1195" ref="S588:U600">S535-R535</f>
        <v>2025</v>
      </c>
      <c r="T588" s="210">
        <f t="shared" si="1195"/>
        <v>2875</v>
      </c>
      <c r="U588" s="210">
        <f t="shared" si="1195"/>
        <v>2327</v>
      </c>
      <c r="V588" s="994">
        <f t="shared" si="1196" ref="V588:W600">V535</f>
        <v>8975</v>
      </c>
      <c r="W588" s="210">
        <f t="shared" si="1196"/>
        <v>2218</v>
      </c>
      <c r="X588" s="210">
        <f t="shared" si="1197" ref="X588:Z600">X535-W535</f>
        <v>2082</v>
      </c>
      <c r="Y588" s="210">
        <f t="shared" si="1197"/>
        <v>2281</v>
      </c>
      <c r="Z588" s="265">
        <f t="shared" si="1197"/>
        <v>2169</v>
      </c>
      <c r="AA588" s="993">
        <f t="shared" si="1198" ref="AA588:AB600">AA535</f>
        <v>8750</v>
      </c>
      <c r="AB588" s="210">
        <f t="shared" si="1198"/>
        <v>1950</v>
      </c>
      <c r="AC588" s="210">
        <f t="shared" si="1199" ref="AC588:AE600">AC535-AB535</f>
        <v>1707</v>
      </c>
      <c r="AD588" s="210">
        <f t="shared" si="1199"/>
        <v>1998</v>
      </c>
      <c r="AE588" s="265">
        <f t="shared" si="1199"/>
        <v>1431</v>
      </c>
      <c r="AF588" s="993">
        <f t="shared" si="1200" ref="AF588:AG600">AF535</f>
        <v>7086</v>
      </c>
      <c r="AG588" s="210">
        <f t="shared" si="1200"/>
        <v>1556</v>
      </c>
      <c r="AH588" s="210">
        <f t="shared" si="1201" ref="AH588:AJ600">AH535-AG535</f>
        <v>1482</v>
      </c>
      <c r="AI588" s="210">
        <f t="shared" si="1201"/>
        <v>1857</v>
      </c>
      <c r="AJ588" s="265">
        <f t="shared" si="1201"/>
        <v>1950</v>
      </c>
      <c r="AK588" s="993">
        <f t="shared" si="1202" ref="AK588:AL600">AK535</f>
        <v>6845</v>
      </c>
      <c r="AL588" s="210">
        <f t="shared" si="1202"/>
        <v>1461</v>
      </c>
      <c r="AM588" s="210">
        <f t="shared" si="1203" ref="AM588:AO600">AM535-AL535</f>
        <v>1610</v>
      </c>
      <c r="AN588" s="210">
        <f t="shared" si="1203"/>
        <v>2170</v>
      </c>
      <c r="AO588" s="265">
        <f t="shared" si="1203"/>
        <v>2146</v>
      </c>
      <c r="AP588" s="993">
        <f t="shared" si="1204" ref="AP588:AQ588">AP535</f>
        <v>7387</v>
      </c>
      <c r="AQ588" s="210">
        <f t="shared" si="1204"/>
        <v>2064</v>
      </c>
      <c r="AR588" s="210">
        <f t="shared" si="1205" ref="AR588:AT600">AR535-AQ535</f>
        <v>2283</v>
      </c>
      <c r="AS588" s="210">
        <f t="shared" si="1205"/>
        <v>2176</v>
      </c>
      <c r="AT588" s="265">
        <f t="shared" si="1205"/>
        <v>2329</v>
      </c>
      <c r="AU588" s="993">
        <f t="shared" si="1206" ref="AU588:AV600">AU535</f>
        <v>8852</v>
      </c>
      <c r="AV588" s="210">
        <f t="shared" si="1206"/>
        <v>1879</v>
      </c>
      <c r="AW588" s="210">
        <f t="shared" si="1207" ref="AW588:AY600">AW535-AV535</f>
        <v>1818</v>
      </c>
      <c r="AX588" s="210">
        <f t="shared" si="1207"/>
        <v>1784</v>
      </c>
      <c r="AY588" s="265">
        <f t="shared" si="1207"/>
        <v>1356</v>
      </c>
      <c r="AZ588" s="993">
        <f t="shared" si="1208" ref="AZ588:BA600">AZ535</f>
        <v>6837</v>
      </c>
      <c r="BA588" s="210">
        <f t="shared" si="1208"/>
        <v>1538</v>
      </c>
      <c r="BB588" s="210">
        <f t="shared" si="1209" ref="BB588:BC600">BB535-BA535</f>
        <v>1493</v>
      </c>
      <c r="BC588" s="210">
        <f t="shared" si="1209"/>
        <v>1878</v>
      </c>
      <c r="BD588" s="265">
        <f t="shared" si="1210" ref="BD588:BD600">BD535-BC535</f>
        <v>1462</v>
      </c>
      <c r="BE588" s="993">
        <f t="shared" si="1211" ref="BE588:BE600">BE535</f>
        <v>6371</v>
      </c>
      <c r="BF588" s="210">
        <f t="shared" si="1212" ref="BF588:BF600">BF535</f>
        <v>1709</v>
      </c>
      <c r="BG588" s="210">
        <f t="shared" si="1213" ref="BG588:BG600">BG535-BF535</f>
        <v>2464</v>
      </c>
      <c r="BH588" s="553">
        <f t="shared" si="1214" ref="BH588:BH600">BH535-BG535</f>
        <v>1817</v>
      </c>
      <c r="BI588" s="210">
        <f>-(BI156-BH156)</f>
        <v>4863.8000000000029</v>
      </c>
      <c r="BJ588" s="994">
        <f t="shared" si="1215" ref="BJ588:BJ600">SUM(BF588,BG588,BH588,BI588)</f>
        <v>10853.800000000003</v>
      </c>
      <c r="BK588" s="210">
        <f>-(BK156-BJ156)</f>
        <v>6362.0500000000029</v>
      </c>
      <c r="BL588" s="210">
        <f>-(BL156-BK156)</f>
        <v>-7077.070000000007</v>
      </c>
      <c r="BM588" s="210">
        <f>-(BM156-BL156)</f>
        <v>-6057.7799999999988</v>
      </c>
      <c r="BN588" s="210">
        <f>-(BN156-BM156)</f>
        <v>4961.0760000000009</v>
      </c>
      <c r="BO588" s="994">
        <f t="shared" si="1216" ref="BO588:BO600">SUM(BK588,BL588,BM588,BN588)</f>
        <v>-1811.724000000002</v>
      </c>
      <c r="BP588" s="994">
        <f>-(BP156-BO156)</f>
        <v>-923.97924000000057</v>
      </c>
      <c r="BQ588" s="994">
        <f>-(BQ156-BP156)</f>
        <v>-933.21903239999665</v>
      </c>
      <c r="BR588" s="994">
        <f>-(BR156-BQ156)</f>
        <v>-942.55122272399603</v>
      </c>
      <c r="BS588" s="272"/>
    </row>
    <row r="589" spans="1:71" s="61" customFormat="1" ht="15">
      <c r="A589" s="66" t="str">
        <f t="shared" si="1189"/>
        <v>Sales of fixed maturities</v>
      </c>
      <c r="B589" s="828"/>
      <c r="C589" s="994">
        <f t="shared" si="1190"/>
        <v>2805</v>
      </c>
      <c r="D589" s="994">
        <f t="shared" si="1190"/>
        <v>3713</v>
      </c>
      <c r="E589" s="994">
        <f t="shared" si="1190"/>
        <v>1161</v>
      </c>
      <c r="F589" s="994">
        <f t="shared" si="1190"/>
        <v>1087</v>
      </c>
      <c r="G589" s="994">
        <f t="shared" si="1190"/>
        <v>1635</v>
      </c>
      <c r="H589" s="210">
        <f t="shared" si="1190"/>
        <v>406</v>
      </c>
      <c r="I589" s="210">
        <f t="shared" si="1191"/>
        <v>379</v>
      </c>
      <c r="J589" s="210">
        <f t="shared" si="1191"/>
        <v>142</v>
      </c>
      <c r="K589" s="210">
        <f t="shared" si="1191"/>
        <v>122</v>
      </c>
      <c r="L589" s="994">
        <f t="shared" si="1192"/>
        <v>1049</v>
      </c>
      <c r="M589" s="210">
        <f t="shared" si="1192"/>
        <v>906</v>
      </c>
      <c r="N589" s="210">
        <f t="shared" si="1193"/>
        <v>320</v>
      </c>
      <c r="O589" s="210">
        <f t="shared" si="1193"/>
        <v>329</v>
      </c>
      <c r="P589" s="210">
        <f t="shared" si="1193"/>
        <v>395</v>
      </c>
      <c r="Q589" s="994">
        <f t="shared" si="1194"/>
        <v>1950</v>
      </c>
      <c r="R589" s="210">
        <f t="shared" si="1194"/>
        <v>421</v>
      </c>
      <c r="S589" s="210">
        <f t="shared" si="1195"/>
        <v>318</v>
      </c>
      <c r="T589" s="210">
        <f t="shared" si="1195"/>
        <v>126</v>
      </c>
      <c r="U589" s="210">
        <f t="shared" si="1195"/>
        <v>552</v>
      </c>
      <c r="V589" s="994">
        <f t="shared" si="1196"/>
        <v>1417</v>
      </c>
      <c r="W589" s="210">
        <f t="shared" si="1196"/>
        <v>188</v>
      </c>
      <c r="X589" s="210">
        <f t="shared" si="1197"/>
        <v>375</v>
      </c>
      <c r="Y589" s="210">
        <f t="shared" si="1197"/>
        <v>297</v>
      </c>
      <c r="Z589" s="265">
        <f t="shared" si="1197"/>
        <v>994</v>
      </c>
      <c r="AA589" s="993">
        <f t="shared" si="1198"/>
        <v>1854</v>
      </c>
      <c r="AB589" s="210">
        <f t="shared" si="1198"/>
        <v>1085</v>
      </c>
      <c r="AC589" s="210">
        <f t="shared" si="1199"/>
        <v>1522</v>
      </c>
      <c r="AD589" s="210">
        <f t="shared" si="1199"/>
        <v>578</v>
      </c>
      <c r="AE589" s="265">
        <f t="shared" si="1199"/>
        <v>361</v>
      </c>
      <c r="AF589" s="993">
        <f t="shared" si="1200"/>
        <v>3546</v>
      </c>
      <c r="AG589" s="210">
        <f t="shared" si="1200"/>
        <v>769</v>
      </c>
      <c r="AH589" s="210">
        <f t="shared" si="1201"/>
        <v>726</v>
      </c>
      <c r="AI589" s="210">
        <f t="shared" si="1201"/>
        <v>306</v>
      </c>
      <c r="AJ589" s="265">
        <f t="shared" si="1201"/>
        <v>386</v>
      </c>
      <c r="AK589" s="993">
        <f t="shared" si="1202"/>
        <v>2187</v>
      </c>
      <c r="AL589" s="210">
        <f t="shared" si="1202"/>
        <v>388</v>
      </c>
      <c r="AM589" s="210">
        <f t="shared" si="1203"/>
        <v>832</v>
      </c>
      <c r="AN589" s="210">
        <f t="shared" si="1203"/>
        <v>774</v>
      </c>
      <c r="AO589" s="265">
        <f t="shared" si="1203"/>
        <v>1063</v>
      </c>
      <c r="AP589" s="993">
        <f t="shared" si="1217" ref="AP589:AQ589">AP536</f>
        <v>3057</v>
      </c>
      <c r="AQ589" s="210">
        <f t="shared" si="1217"/>
        <v>1238</v>
      </c>
      <c r="AR589" s="210">
        <f t="shared" si="1205"/>
        <v>1244</v>
      </c>
      <c r="AS589" s="210">
        <f t="shared" si="1205"/>
        <v>382</v>
      </c>
      <c r="AT589" s="265">
        <f t="shared" si="1205"/>
        <v>301</v>
      </c>
      <c r="AU589" s="993">
        <f t="shared" si="1206"/>
        <v>3165</v>
      </c>
      <c r="AV589" s="210">
        <f t="shared" si="1206"/>
        <v>1044</v>
      </c>
      <c r="AW589" s="210">
        <f t="shared" si="1207"/>
        <v>1657</v>
      </c>
      <c r="AX589" s="210">
        <f t="shared" si="1207"/>
        <v>1250</v>
      </c>
      <c r="AY589" s="265">
        <f t="shared" si="1207"/>
        <v>1706</v>
      </c>
      <c r="AZ589" s="993">
        <f t="shared" si="1208"/>
        <v>5657</v>
      </c>
      <c r="BA589" s="210">
        <f t="shared" si="1208"/>
        <v>2364</v>
      </c>
      <c r="BB589" s="210">
        <f t="shared" si="1209"/>
        <v>751</v>
      </c>
      <c r="BC589" s="210">
        <f t="shared" si="1209"/>
        <v>1504</v>
      </c>
      <c r="BD589" s="265">
        <f t="shared" si="1210"/>
        <v>362</v>
      </c>
      <c r="BE589" s="993">
        <f t="shared" si="1211"/>
        <v>4981</v>
      </c>
      <c r="BF589" s="210">
        <f t="shared" si="1212"/>
        <v>942</v>
      </c>
      <c r="BG589" s="210">
        <f t="shared" si="1213"/>
        <v>308</v>
      </c>
      <c r="BH589" s="553">
        <f t="shared" si="1214"/>
        <v>225</v>
      </c>
      <c r="BI589" s="210"/>
      <c r="BJ589" s="994">
        <f t="shared" si="1215"/>
        <v>1475</v>
      </c>
      <c r="BK589" s="210"/>
      <c r="BL589" s="210"/>
      <c r="BM589" s="210"/>
      <c r="BN589" s="210"/>
      <c r="BO589" s="994">
        <f t="shared" si="1216"/>
        <v>0</v>
      </c>
      <c r="BP589" s="994"/>
      <c r="BQ589" s="994"/>
      <c r="BR589" s="994"/>
      <c r="BS589" s="272"/>
    </row>
    <row r="590" spans="1:71" s="61" customFormat="1" ht="15">
      <c r="A590" s="66" t="str">
        <f t="shared" si="1189"/>
        <v>Sales of equity securities</v>
      </c>
      <c r="B590" s="828"/>
      <c r="C590" s="994">
        <f t="shared" si="1190"/>
        <v>65</v>
      </c>
      <c r="D590" s="994">
        <f t="shared" si="1190"/>
        <v>201</v>
      </c>
      <c r="E590" s="994">
        <f t="shared" si="1190"/>
        <v>135</v>
      </c>
      <c r="F590" s="994">
        <f t="shared" si="1190"/>
        <v>37</v>
      </c>
      <c r="G590" s="994">
        <f t="shared" si="1190"/>
        <v>86</v>
      </c>
      <c r="H590" s="210">
        <f t="shared" si="1190"/>
        <v>36</v>
      </c>
      <c r="I590" s="210">
        <f t="shared" si="1191"/>
        <v>59</v>
      </c>
      <c r="J590" s="210">
        <f t="shared" si="1191"/>
        <v>33</v>
      </c>
      <c r="K590" s="210">
        <f t="shared" si="1191"/>
        <v>30</v>
      </c>
      <c r="L590" s="994">
        <f t="shared" si="1192"/>
        <v>158</v>
      </c>
      <c r="M590" s="210">
        <f t="shared" si="1192"/>
        <v>11</v>
      </c>
      <c r="N590" s="210">
        <f t="shared" si="1193"/>
        <v>17</v>
      </c>
      <c r="O590" s="210">
        <f t="shared" si="1193"/>
        <v>10</v>
      </c>
      <c r="P590" s="210">
        <f t="shared" si="1193"/>
        <v>21</v>
      </c>
      <c r="Q590" s="994">
        <f t="shared" si="1194"/>
        <v>59</v>
      </c>
      <c r="R590" s="210">
        <f t="shared" si="1194"/>
        <v>14</v>
      </c>
      <c r="S590" s="210">
        <f t="shared" si="1195"/>
        <v>24</v>
      </c>
      <c r="T590" s="210">
        <f t="shared" si="1195"/>
        <v>33</v>
      </c>
      <c r="U590" s="210">
        <f t="shared" si="1195"/>
        <v>21</v>
      </c>
      <c r="V590" s="994">
        <f t="shared" si="1196"/>
        <v>92</v>
      </c>
      <c r="W590" s="210">
        <f t="shared" si="1196"/>
        <v>21</v>
      </c>
      <c r="X590" s="210">
        <f t="shared" si="1197"/>
        <v>179</v>
      </c>
      <c r="Y590" s="210">
        <f t="shared" si="1197"/>
        <v>140</v>
      </c>
      <c r="Z590" s="265">
        <f t="shared" si="1197"/>
        <v>425</v>
      </c>
      <c r="AA590" s="993">
        <f t="shared" si="1198"/>
        <v>765</v>
      </c>
      <c r="AB590" s="210">
        <f t="shared" si="1198"/>
        <v>26</v>
      </c>
      <c r="AC590" s="210">
        <f t="shared" si="1199"/>
        <v>66</v>
      </c>
      <c r="AD590" s="210">
        <f t="shared" si="1199"/>
        <v>35</v>
      </c>
      <c r="AE590" s="265">
        <f t="shared" si="1199"/>
        <v>51</v>
      </c>
      <c r="AF590" s="993">
        <f t="shared" si="1200"/>
        <v>178</v>
      </c>
      <c r="AG590" s="210">
        <f t="shared" si="1200"/>
        <v>39</v>
      </c>
      <c r="AH590" s="210">
        <f t="shared" si="1201"/>
        <v>32</v>
      </c>
      <c r="AI590" s="210">
        <f t="shared" si="1201"/>
        <v>28</v>
      </c>
      <c r="AJ590" s="265">
        <f t="shared" si="1201"/>
        <v>41</v>
      </c>
      <c r="AK590" s="993">
        <f t="shared" si="1202"/>
        <v>140</v>
      </c>
      <c r="AL590" s="210">
        <f t="shared" si="1202"/>
        <v>33</v>
      </c>
      <c r="AM590" s="210">
        <f t="shared" si="1203"/>
        <v>21</v>
      </c>
      <c r="AN590" s="210">
        <f t="shared" si="1203"/>
        <v>22</v>
      </c>
      <c r="AO590" s="265">
        <f t="shared" si="1203"/>
        <v>35</v>
      </c>
      <c r="AP590" s="993">
        <f t="shared" si="1218" ref="AP590:AQ590">AP537</f>
        <v>111</v>
      </c>
      <c r="AQ590" s="210">
        <f t="shared" si="1218"/>
        <v>25</v>
      </c>
      <c r="AR590" s="210">
        <f t="shared" si="1205"/>
        <v>20</v>
      </c>
      <c r="AS590" s="210">
        <f t="shared" si="1205"/>
        <v>29</v>
      </c>
      <c r="AT590" s="265">
        <f t="shared" si="1205"/>
        <v>28</v>
      </c>
      <c r="AU590" s="993">
        <f t="shared" si="1206"/>
        <v>102</v>
      </c>
      <c r="AV590" s="210">
        <f t="shared" si="1206"/>
        <v>63</v>
      </c>
      <c r="AW590" s="210">
        <f t="shared" si="1207"/>
        <v>21</v>
      </c>
      <c r="AX590" s="210">
        <f t="shared" si="1207"/>
        <v>20</v>
      </c>
      <c r="AY590" s="265">
        <f t="shared" si="1207"/>
        <v>34</v>
      </c>
      <c r="AZ590" s="993">
        <f t="shared" si="1208"/>
        <v>138</v>
      </c>
      <c r="BA590" s="210">
        <f t="shared" si="1208"/>
        <v>28</v>
      </c>
      <c r="BB590" s="210">
        <f t="shared" si="1209"/>
        <v>62</v>
      </c>
      <c r="BC590" s="210">
        <f t="shared" si="1209"/>
        <v>27</v>
      </c>
      <c r="BD590" s="265">
        <f t="shared" si="1210"/>
        <v>21</v>
      </c>
      <c r="BE590" s="993">
        <f t="shared" si="1211"/>
        <v>138</v>
      </c>
      <c r="BF590" s="210">
        <f t="shared" si="1212"/>
        <v>21</v>
      </c>
      <c r="BG590" s="210">
        <f t="shared" si="1213"/>
        <v>41</v>
      </c>
      <c r="BH590" s="553">
        <f t="shared" si="1214"/>
        <v>31</v>
      </c>
      <c r="BI590" s="210"/>
      <c r="BJ590" s="994">
        <f t="shared" si="1215"/>
        <v>93</v>
      </c>
      <c r="BK590" s="210"/>
      <c r="BL590" s="210"/>
      <c r="BM590" s="210"/>
      <c r="BN590" s="210"/>
      <c r="BO590" s="994">
        <f t="shared" si="1216"/>
        <v>0</v>
      </c>
      <c r="BP590" s="994"/>
      <c r="BQ590" s="994"/>
      <c r="BR590" s="994"/>
      <c r="BS590" s="272"/>
    </row>
    <row r="591" spans="1:71" s="61" customFormat="1" ht="15">
      <c r="A591" s="66" t="str">
        <f t="shared" si="1189"/>
        <v>Sales of real estate investments</v>
      </c>
      <c r="B591" s="828"/>
      <c r="C591" s="994">
        <f t="shared" si="1190"/>
        <v>0</v>
      </c>
      <c r="D591" s="994">
        <f t="shared" si="1190"/>
        <v>10</v>
      </c>
      <c r="E591" s="994">
        <f t="shared" si="1190"/>
        <v>1</v>
      </c>
      <c r="F591" s="994">
        <f t="shared" si="1190"/>
        <v>53</v>
      </c>
      <c r="G591" s="994">
        <f t="shared" si="1190"/>
        <v>18</v>
      </c>
      <c r="H591" s="210">
        <f t="shared" si="1190"/>
        <v>1</v>
      </c>
      <c r="I591" s="210">
        <f t="shared" si="1191"/>
        <v>4</v>
      </c>
      <c r="J591" s="210">
        <f t="shared" si="1191"/>
        <v>0</v>
      </c>
      <c r="K591" s="210">
        <f t="shared" si="1191"/>
        <v>10</v>
      </c>
      <c r="L591" s="994">
        <f t="shared" si="1192"/>
        <v>15</v>
      </c>
      <c r="M591" s="210">
        <f t="shared" si="1192"/>
        <v>7</v>
      </c>
      <c r="N591" s="210">
        <f t="shared" si="1193"/>
        <v>3</v>
      </c>
      <c r="O591" s="210">
        <f t="shared" si="1193"/>
        <v>5</v>
      </c>
      <c r="P591" s="210">
        <f t="shared" si="1193"/>
        <v>16</v>
      </c>
      <c r="Q591" s="994">
        <f t="shared" si="1194"/>
        <v>31</v>
      </c>
      <c r="R591" s="210">
        <f t="shared" si="1194"/>
        <v>69</v>
      </c>
      <c r="S591" s="210">
        <f t="shared" si="1195"/>
        <v>0</v>
      </c>
      <c r="T591" s="210">
        <f t="shared" si="1195"/>
        <v>0</v>
      </c>
      <c r="U591" s="210">
        <f t="shared" si="1195"/>
        <v>0</v>
      </c>
      <c r="V591" s="994">
        <f t="shared" si="1196"/>
        <v>69</v>
      </c>
      <c r="W591" s="210">
        <f t="shared" si="1196"/>
        <v>11</v>
      </c>
      <c r="X591" s="210">
        <f t="shared" si="1197"/>
        <v>9</v>
      </c>
      <c r="Y591" s="210">
        <f t="shared" si="1197"/>
        <v>3</v>
      </c>
      <c r="Z591" s="265">
        <f t="shared" si="1197"/>
        <v>0</v>
      </c>
      <c r="AA591" s="993">
        <f t="shared" si="1198"/>
        <v>23</v>
      </c>
      <c r="AB591" s="210">
        <f t="shared" si="1198"/>
        <v>0</v>
      </c>
      <c r="AC591" s="210">
        <f t="shared" si="1199"/>
        <v>0</v>
      </c>
      <c r="AD591" s="210">
        <f t="shared" si="1199"/>
        <v>8</v>
      </c>
      <c r="AE591" s="265">
        <f t="shared" si="1199"/>
        <v>66</v>
      </c>
      <c r="AF591" s="993">
        <f t="shared" si="1200"/>
        <v>74</v>
      </c>
      <c r="AG591" s="210">
        <f t="shared" si="1200"/>
        <v>0</v>
      </c>
      <c r="AH591" s="210">
        <f t="shared" si="1201"/>
        <v>0</v>
      </c>
      <c r="AI591" s="210">
        <f t="shared" si="1201"/>
        <v>0</v>
      </c>
      <c r="AJ591" s="265">
        <f t="shared" si="1201"/>
        <v>0</v>
      </c>
      <c r="AK591" s="993">
        <f t="shared" si="1202"/>
        <v>0</v>
      </c>
      <c r="AL591" s="210">
        <f t="shared" si="1202"/>
        <v>0</v>
      </c>
      <c r="AM591" s="210">
        <f t="shared" si="1203"/>
        <v>0</v>
      </c>
      <c r="AN591" s="210">
        <f t="shared" si="1203"/>
        <v>0</v>
      </c>
      <c r="AO591" s="265">
        <f t="shared" si="1203"/>
        <v>0</v>
      </c>
      <c r="AP591" s="993">
        <f t="shared" si="1219" ref="AP591:AQ591">AP538</f>
        <v>0</v>
      </c>
      <c r="AQ591" s="210">
        <f t="shared" si="1219"/>
        <v>0</v>
      </c>
      <c r="AR591" s="210">
        <f t="shared" si="1205"/>
        <v>0</v>
      </c>
      <c r="AS591" s="210">
        <f t="shared" si="1205"/>
        <v>7</v>
      </c>
      <c r="AT591" s="265">
        <f t="shared" si="1205"/>
        <v>24</v>
      </c>
      <c r="AU591" s="993">
        <f t="shared" si="1206"/>
        <v>31</v>
      </c>
      <c r="AV591" s="210">
        <f t="shared" si="1206"/>
        <v>0</v>
      </c>
      <c r="AW591" s="210">
        <f t="shared" si="1207"/>
        <v>0</v>
      </c>
      <c r="AX591" s="210">
        <f t="shared" si="1207"/>
        <v>10</v>
      </c>
      <c r="AY591" s="265">
        <f t="shared" si="1207"/>
        <v>0</v>
      </c>
      <c r="AZ591" s="993">
        <f t="shared" si="1208"/>
        <v>10</v>
      </c>
      <c r="BA591" s="210">
        <f t="shared" si="1208"/>
        <v>0</v>
      </c>
      <c r="BB591" s="210">
        <f t="shared" si="1209"/>
        <v>0</v>
      </c>
      <c r="BC591" s="210">
        <f t="shared" si="1209"/>
        <v>0</v>
      </c>
      <c r="BD591" s="265">
        <f t="shared" si="1210"/>
        <v>0</v>
      </c>
      <c r="BE591" s="993">
        <f t="shared" si="1211"/>
        <v>0</v>
      </c>
      <c r="BF591" s="210">
        <f t="shared" si="1212"/>
        <v>0</v>
      </c>
      <c r="BG591" s="210">
        <f t="shared" si="1213"/>
        <v>0</v>
      </c>
      <c r="BH591" s="553">
        <f t="shared" si="1214"/>
        <v>64</v>
      </c>
      <c r="BI591" s="210"/>
      <c r="BJ591" s="994">
        <f t="shared" si="1215"/>
        <v>64</v>
      </c>
      <c r="BK591" s="210"/>
      <c r="BL591" s="210"/>
      <c r="BM591" s="210"/>
      <c r="BN591" s="210"/>
      <c r="BO591" s="994">
        <f t="shared" si="1216"/>
        <v>0</v>
      </c>
      <c r="BP591" s="994"/>
      <c r="BQ591" s="994"/>
      <c r="BR591" s="994"/>
      <c r="BS591" s="272"/>
    </row>
    <row r="592" spans="1:71" s="61" customFormat="1" ht="15">
      <c r="A592" s="66" t="str">
        <f t="shared" si="1189"/>
        <v>Sales of other investments</v>
      </c>
      <c r="B592" s="828"/>
      <c r="C592" s="994">
        <f t="shared" si="1190"/>
        <v>511</v>
      </c>
      <c r="D592" s="994">
        <f t="shared" si="1190"/>
        <v>717</v>
      </c>
      <c r="E592" s="994">
        <f t="shared" si="1190"/>
        <v>594</v>
      </c>
      <c r="F592" s="994">
        <f t="shared" si="1190"/>
        <v>835</v>
      </c>
      <c r="G592" s="994">
        <f t="shared" si="1190"/>
        <v>762</v>
      </c>
      <c r="H592" s="210">
        <f t="shared" si="1190"/>
        <v>167</v>
      </c>
      <c r="I592" s="210">
        <f t="shared" si="1191"/>
        <v>171</v>
      </c>
      <c r="J592" s="210">
        <f t="shared" si="1191"/>
        <v>274</v>
      </c>
      <c r="K592" s="210">
        <f t="shared" si="1191"/>
        <v>243</v>
      </c>
      <c r="L592" s="994">
        <f t="shared" si="1192"/>
        <v>855</v>
      </c>
      <c r="M592" s="210">
        <f t="shared" si="1192"/>
        <v>146</v>
      </c>
      <c r="N592" s="210">
        <f t="shared" si="1193"/>
        <v>208</v>
      </c>
      <c r="O592" s="210">
        <f t="shared" si="1193"/>
        <v>151</v>
      </c>
      <c r="P592" s="210">
        <f t="shared" si="1193"/>
        <v>208</v>
      </c>
      <c r="Q592" s="994">
        <f t="shared" si="1194"/>
        <v>713</v>
      </c>
      <c r="R592" s="210">
        <f t="shared" si="1194"/>
        <v>186</v>
      </c>
      <c r="S592" s="210">
        <f t="shared" si="1195"/>
        <v>157</v>
      </c>
      <c r="T592" s="210">
        <f t="shared" si="1195"/>
        <v>226</v>
      </c>
      <c r="U592" s="210">
        <f t="shared" si="1195"/>
        <v>270</v>
      </c>
      <c r="V592" s="994">
        <f t="shared" si="1196"/>
        <v>839</v>
      </c>
      <c r="W592" s="210">
        <f t="shared" si="1196"/>
        <v>195</v>
      </c>
      <c r="X592" s="210">
        <f t="shared" si="1197"/>
        <v>208</v>
      </c>
      <c r="Y592" s="210">
        <f t="shared" si="1197"/>
        <v>200</v>
      </c>
      <c r="Z592" s="265">
        <f t="shared" si="1197"/>
        <v>254</v>
      </c>
      <c r="AA592" s="993">
        <f t="shared" si="1198"/>
        <v>857</v>
      </c>
      <c r="AB592" s="210">
        <f t="shared" si="1198"/>
        <v>114</v>
      </c>
      <c r="AC592" s="210">
        <f t="shared" si="1199"/>
        <v>75</v>
      </c>
      <c r="AD592" s="210">
        <f t="shared" si="1199"/>
        <v>81</v>
      </c>
      <c r="AE592" s="265">
        <f t="shared" si="1199"/>
        <v>241</v>
      </c>
      <c r="AF592" s="993">
        <f t="shared" si="1200"/>
        <v>511</v>
      </c>
      <c r="AG592" s="210">
        <f t="shared" si="1200"/>
        <v>105</v>
      </c>
      <c r="AH592" s="210">
        <f t="shared" si="1201"/>
        <v>135</v>
      </c>
      <c r="AI592" s="210">
        <f t="shared" si="1201"/>
        <v>106</v>
      </c>
      <c r="AJ592" s="265">
        <f t="shared" si="1201"/>
        <v>113</v>
      </c>
      <c r="AK592" s="993">
        <f t="shared" si="1202"/>
        <v>459</v>
      </c>
      <c r="AL592" s="210">
        <f t="shared" si="1202"/>
        <v>64</v>
      </c>
      <c r="AM592" s="210">
        <f t="shared" si="1203"/>
        <v>75</v>
      </c>
      <c r="AN592" s="210">
        <f t="shared" si="1203"/>
        <v>45</v>
      </c>
      <c r="AO592" s="265">
        <f t="shared" si="1203"/>
        <v>97</v>
      </c>
      <c r="AP592" s="993">
        <f t="shared" si="1220" ref="AP592:AQ592">AP539</f>
        <v>281</v>
      </c>
      <c r="AQ592" s="210">
        <f t="shared" si="1220"/>
        <v>79</v>
      </c>
      <c r="AR592" s="210">
        <f t="shared" si="1205"/>
        <v>116</v>
      </c>
      <c r="AS592" s="210">
        <f t="shared" si="1205"/>
        <v>80</v>
      </c>
      <c r="AT592" s="265">
        <f t="shared" si="1205"/>
        <v>152</v>
      </c>
      <c r="AU592" s="993">
        <f t="shared" si="1206"/>
        <v>427</v>
      </c>
      <c r="AV592" s="210">
        <f t="shared" si="1206"/>
        <v>81</v>
      </c>
      <c r="AW592" s="210">
        <f t="shared" si="1207"/>
        <v>92</v>
      </c>
      <c r="AX592" s="210">
        <f t="shared" si="1207"/>
        <v>69</v>
      </c>
      <c r="AY592" s="265">
        <f t="shared" si="1207"/>
        <v>60</v>
      </c>
      <c r="AZ592" s="993">
        <f t="shared" si="1208"/>
        <v>302</v>
      </c>
      <c r="BA592" s="210">
        <f t="shared" si="1208"/>
        <v>64</v>
      </c>
      <c r="BB592" s="210">
        <f t="shared" si="1209"/>
        <v>36</v>
      </c>
      <c r="BC592" s="210">
        <f t="shared" si="1209"/>
        <v>66</v>
      </c>
      <c r="BD592" s="265">
        <f t="shared" si="1210"/>
        <v>89</v>
      </c>
      <c r="BE592" s="993">
        <f t="shared" si="1211"/>
        <v>255</v>
      </c>
      <c r="BF592" s="210">
        <f t="shared" si="1212"/>
        <v>55</v>
      </c>
      <c r="BG592" s="210">
        <f t="shared" si="1213"/>
        <v>55</v>
      </c>
      <c r="BH592" s="553">
        <f t="shared" si="1214"/>
        <v>101</v>
      </c>
      <c r="BI592" s="210"/>
      <c r="BJ592" s="994">
        <f t="shared" si="1215"/>
        <v>211</v>
      </c>
      <c r="BK592" s="210"/>
      <c r="BL592" s="210"/>
      <c r="BM592" s="210"/>
      <c r="BN592" s="210"/>
      <c r="BO592" s="994">
        <f t="shared" si="1216"/>
        <v>0</v>
      </c>
      <c r="BP592" s="994"/>
      <c r="BQ592" s="994"/>
      <c r="BR592" s="994"/>
      <c r="BS592" s="272"/>
    </row>
    <row r="593" spans="1:71" s="61" customFormat="1" ht="15">
      <c r="A593" s="66" t="str">
        <f t="shared" si="1189"/>
        <v>Purchases of fixed maturities</v>
      </c>
      <c r="B593" s="828"/>
      <c r="C593" s="994">
        <f t="shared" si="1190"/>
        <v>-9647</v>
      </c>
      <c r="D593" s="994">
        <f t="shared" si="1190"/>
        <v>-6785</v>
      </c>
      <c r="E593" s="994">
        <f t="shared" si="1190"/>
        <v>-8704</v>
      </c>
      <c r="F593" s="994">
        <f t="shared" si="1190"/>
        <v>-10447</v>
      </c>
      <c r="G593" s="994">
        <f t="shared" si="1190"/>
        <v>-9467</v>
      </c>
      <c r="H593" s="210">
        <f t="shared" si="1190"/>
        <v>-2715</v>
      </c>
      <c r="I593" s="210">
        <f t="shared" si="1191"/>
        <v>-2734</v>
      </c>
      <c r="J593" s="210">
        <f t="shared" si="1191"/>
        <v>-2788</v>
      </c>
      <c r="K593" s="210">
        <f t="shared" si="1191"/>
        <v>-3088</v>
      </c>
      <c r="L593" s="994">
        <f t="shared" si="1192"/>
        <v>-11325</v>
      </c>
      <c r="M593" s="210">
        <f t="shared" si="1192"/>
        <v>-3325</v>
      </c>
      <c r="N593" s="210">
        <f t="shared" si="1193"/>
        <v>-2914</v>
      </c>
      <c r="O593" s="210">
        <f t="shared" si="1193"/>
        <v>-3733</v>
      </c>
      <c r="P593" s="210">
        <f t="shared" si="1193"/>
        <v>-2118</v>
      </c>
      <c r="Q593" s="994">
        <f t="shared" si="1194"/>
        <v>-12090</v>
      </c>
      <c r="R593" s="210">
        <f t="shared" si="1194"/>
        <v>-2700</v>
      </c>
      <c r="S593" s="210">
        <f t="shared" si="1195"/>
        <v>-3005</v>
      </c>
      <c r="T593" s="210">
        <f t="shared" si="1195"/>
        <v>-3299</v>
      </c>
      <c r="U593" s="210">
        <f t="shared" si="1195"/>
        <v>-2605</v>
      </c>
      <c r="V593" s="994">
        <f t="shared" si="1196"/>
        <v>-11609</v>
      </c>
      <c r="W593" s="210">
        <f t="shared" si="1196"/>
        <v>-3056</v>
      </c>
      <c r="X593" s="210">
        <f t="shared" si="1197"/>
        <v>-2617</v>
      </c>
      <c r="Y593" s="210">
        <f t="shared" si="1197"/>
        <v>-2730</v>
      </c>
      <c r="Z593" s="265">
        <f t="shared" si="1197"/>
        <v>-3847</v>
      </c>
      <c r="AA593" s="993">
        <f t="shared" si="1198"/>
        <v>-12250</v>
      </c>
      <c r="AB593" s="210">
        <f t="shared" si="1198"/>
        <v>-3920</v>
      </c>
      <c r="AC593" s="210">
        <f t="shared" si="1199"/>
        <v>-4032</v>
      </c>
      <c r="AD593" s="210">
        <f t="shared" si="1199"/>
        <v>-2910</v>
      </c>
      <c r="AE593" s="265">
        <f t="shared" si="1199"/>
        <v>-2664</v>
      </c>
      <c r="AF593" s="993">
        <f t="shared" si="1200"/>
        <v>-13526</v>
      </c>
      <c r="AG593" s="210">
        <f t="shared" si="1200"/>
        <v>-2914</v>
      </c>
      <c r="AH593" s="210">
        <f t="shared" si="1201"/>
        <v>-2794</v>
      </c>
      <c r="AI593" s="210">
        <f t="shared" si="1201"/>
        <v>-2526</v>
      </c>
      <c r="AJ593" s="265">
        <f t="shared" si="1201"/>
        <v>-2477</v>
      </c>
      <c r="AK593" s="993">
        <f t="shared" si="1202"/>
        <v>-10711</v>
      </c>
      <c r="AL593" s="210">
        <f t="shared" si="1202"/>
        <v>-2630</v>
      </c>
      <c r="AM593" s="210">
        <f t="shared" si="1203"/>
        <v>-2160</v>
      </c>
      <c r="AN593" s="210">
        <f t="shared" si="1203"/>
        <v>-5161</v>
      </c>
      <c r="AO593" s="265">
        <f t="shared" si="1203"/>
        <v>-4122</v>
      </c>
      <c r="AP593" s="993">
        <f t="shared" si="1221" ref="AP593:AQ593">AP540</f>
        <v>-14073</v>
      </c>
      <c r="AQ593" s="210">
        <f t="shared" si="1221"/>
        <v>-4754</v>
      </c>
      <c r="AR593" s="210">
        <f t="shared" si="1205"/>
        <v>-4708</v>
      </c>
      <c r="AS593" s="210">
        <f t="shared" si="1205"/>
        <v>-4894</v>
      </c>
      <c r="AT593" s="265">
        <f t="shared" si="1205"/>
        <v>-3797</v>
      </c>
      <c r="AU593" s="993">
        <f t="shared" si="1206"/>
        <v>-18153</v>
      </c>
      <c r="AV593" s="210">
        <f t="shared" si="1206"/>
        <v>-4409</v>
      </c>
      <c r="AW593" s="210">
        <f t="shared" si="1207"/>
        <v>-3589</v>
      </c>
      <c r="AX593" s="210">
        <f t="shared" si="1207"/>
        <v>-4102</v>
      </c>
      <c r="AY593" s="265">
        <f t="shared" si="1207"/>
        <v>-3808</v>
      </c>
      <c r="AZ593" s="993">
        <f t="shared" si="1208"/>
        <v>-15908</v>
      </c>
      <c r="BA593" s="210">
        <f t="shared" si="1208"/>
        <v>-4335</v>
      </c>
      <c r="BB593" s="210">
        <f t="shared" si="1209"/>
        <v>-3328</v>
      </c>
      <c r="BC593" s="210">
        <f t="shared" si="1209"/>
        <v>-5391</v>
      </c>
      <c r="BD593" s="265">
        <f t="shared" si="1210"/>
        <v>-2636</v>
      </c>
      <c r="BE593" s="993">
        <f t="shared" si="1211"/>
        <v>-15690</v>
      </c>
      <c r="BF593" s="210">
        <f t="shared" si="1212"/>
        <v>-3738</v>
      </c>
      <c r="BG593" s="210">
        <f t="shared" si="1213"/>
        <v>-4349</v>
      </c>
      <c r="BH593" s="553">
        <f t="shared" si="1214"/>
        <v>-4273</v>
      </c>
      <c r="BI593" s="210"/>
      <c r="BJ593" s="994">
        <f t="shared" si="1215"/>
        <v>-12360</v>
      </c>
      <c r="BK593" s="210"/>
      <c r="BL593" s="210"/>
      <c r="BM593" s="210"/>
      <c r="BN593" s="210"/>
      <c r="BO593" s="994">
        <f t="shared" si="1216"/>
        <v>0</v>
      </c>
      <c r="BP593" s="994"/>
      <c r="BQ593" s="994"/>
      <c r="BR593" s="994"/>
      <c r="BS593" s="272"/>
    </row>
    <row r="594" spans="1:71" s="61" customFormat="1" ht="15">
      <c r="A594" s="66" t="str">
        <f t="shared" si="1189"/>
        <v>Purchases of equity securities</v>
      </c>
      <c r="B594" s="828"/>
      <c r="C594" s="994">
        <f t="shared" si="1190"/>
        <v>-24</v>
      </c>
      <c r="D594" s="994">
        <f t="shared" si="1190"/>
        <v>-61</v>
      </c>
      <c r="E594" s="994">
        <f t="shared" si="1190"/>
        <v>-131</v>
      </c>
      <c r="F594" s="994">
        <f t="shared" si="1190"/>
        <v>-48</v>
      </c>
      <c r="G594" s="994">
        <f t="shared" si="1190"/>
        <v>-57</v>
      </c>
      <c r="H594" s="210">
        <f t="shared" si="1190"/>
        <v>-18</v>
      </c>
      <c r="I594" s="210">
        <f t="shared" si="1191"/>
        <v>-22</v>
      </c>
      <c r="J594" s="210">
        <f t="shared" si="1191"/>
        <v>-7</v>
      </c>
      <c r="K594" s="210">
        <f t="shared" si="1191"/>
        <v>-5</v>
      </c>
      <c r="L594" s="994">
        <f t="shared" si="1192"/>
        <v>-52</v>
      </c>
      <c r="M594" s="210">
        <f t="shared" si="1192"/>
        <v>-8</v>
      </c>
      <c r="N594" s="210">
        <f t="shared" si="1193"/>
        <v>-14</v>
      </c>
      <c r="O594" s="210">
        <f t="shared" si="1193"/>
        <v>-9</v>
      </c>
      <c r="P594" s="210">
        <f t="shared" si="1193"/>
        <v>-18</v>
      </c>
      <c r="Q594" s="994">
        <f t="shared" si="1194"/>
        <v>-49</v>
      </c>
      <c r="R594" s="210">
        <f t="shared" si="1194"/>
        <v>-12</v>
      </c>
      <c r="S594" s="210">
        <f t="shared" si="1195"/>
        <v>-14</v>
      </c>
      <c r="T594" s="210">
        <f t="shared" si="1195"/>
        <v>-10</v>
      </c>
      <c r="U594" s="210">
        <f t="shared" si="1195"/>
        <v>-15</v>
      </c>
      <c r="V594" s="994">
        <f t="shared" si="1196"/>
        <v>-51</v>
      </c>
      <c r="W594" s="210">
        <f t="shared" si="1196"/>
        <v>-22</v>
      </c>
      <c r="X594" s="210">
        <f t="shared" si="1197"/>
        <v>-144</v>
      </c>
      <c r="Y594" s="210">
        <f t="shared" si="1197"/>
        <v>-27</v>
      </c>
      <c r="Z594" s="265">
        <f t="shared" si="1197"/>
        <v>-266</v>
      </c>
      <c r="AA594" s="993">
        <f t="shared" si="1198"/>
        <v>-459</v>
      </c>
      <c r="AB594" s="210">
        <f t="shared" si="1198"/>
        <v>-20</v>
      </c>
      <c r="AC594" s="210">
        <f t="shared" si="1199"/>
        <v>-40</v>
      </c>
      <c r="AD594" s="210">
        <f t="shared" si="1199"/>
        <v>-26</v>
      </c>
      <c r="AE594" s="265">
        <f t="shared" si="1199"/>
        <v>-31</v>
      </c>
      <c r="AF594" s="993">
        <f t="shared" si="1200"/>
        <v>-117</v>
      </c>
      <c r="AG594" s="210">
        <f t="shared" si="1200"/>
        <v>-22</v>
      </c>
      <c r="AH594" s="210">
        <f t="shared" si="1201"/>
        <v>-19</v>
      </c>
      <c r="AI594" s="210">
        <f t="shared" si="1201"/>
        <v>-21</v>
      </c>
      <c r="AJ594" s="265">
        <f t="shared" si="1201"/>
        <v>-32</v>
      </c>
      <c r="AK594" s="993">
        <f t="shared" si="1202"/>
        <v>-94</v>
      </c>
      <c r="AL594" s="210">
        <f t="shared" si="1202"/>
        <v>-35</v>
      </c>
      <c r="AM594" s="210">
        <f t="shared" si="1203"/>
        <v>-24</v>
      </c>
      <c r="AN594" s="210">
        <f t="shared" si="1203"/>
        <v>-21</v>
      </c>
      <c r="AO594" s="265">
        <f t="shared" si="1203"/>
        <v>-32</v>
      </c>
      <c r="AP594" s="993">
        <f t="shared" si="1222" ref="AP594:AQ594">AP541</f>
        <v>-112</v>
      </c>
      <c r="AQ594" s="210">
        <f t="shared" si="1222"/>
        <v>-19</v>
      </c>
      <c r="AR594" s="210">
        <f t="shared" si="1205"/>
        <v>-22</v>
      </c>
      <c r="AS594" s="210">
        <f t="shared" si="1205"/>
        <v>-27</v>
      </c>
      <c r="AT594" s="265">
        <f t="shared" si="1205"/>
        <v>-339</v>
      </c>
      <c r="AU594" s="993">
        <f t="shared" si="1206"/>
        <v>-407</v>
      </c>
      <c r="AV594" s="210">
        <f t="shared" si="1206"/>
        <v>-63</v>
      </c>
      <c r="AW594" s="210">
        <f t="shared" si="1207"/>
        <v>-23</v>
      </c>
      <c r="AX594" s="210">
        <f t="shared" si="1207"/>
        <v>-26</v>
      </c>
      <c r="AY594" s="265">
        <f t="shared" si="1207"/>
        <v>-24</v>
      </c>
      <c r="AZ594" s="993">
        <f t="shared" si="1208"/>
        <v>-136</v>
      </c>
      <c r="BA594" s="210">
        <f t="shared" si="1208"/>
        <v>-34</v>
      </c>
      <c r="BB594" s="210">
        <f t="shared" si="1209"/>
        <v>-16</v>
      </c>
      <c r="BC594" s="210">
        <f t="shared" si="1209"/>
        <v>-30</v>
      </c>
      <c r="BD594" s="265">
        <f t="shared" si="1210"/>
        <v>-25</v>
      </c>
      <c r="BE594" s="993">
        <f t="shared" si="1211"/>
        <v>-105</v>
      </c>
      <c r="BF594" s="210">
        <f t="shared" si="1212"/>
        <v>-26</v>
      </c>
      <c r="BG594" s="210">
        <f t="shared" si="1213"/>
        <v>-21</v>
      </c>
      <c r="BH594" s="553">
        <f t="shared" si="1214"/>
        <v>-33</v>
      </c>
      <c r="BI594" s="210"/>
      <c r="BJ594" s="994">
        <f t="shared" si="1215"/>
        <v>-80</v>
      </c>
      <c r="BK594" s="210"/>
      <c r="BL594" s="210"/>
      <c r="BM594" s="210"/>
      <c r="BN594" s="210"/>
      <c r="BO594" s="994">
        <f t="shared" si="1216"/>
        <v>0</v>
      </c>
      <c r="BP594" s="994"/>
      <c r="BQ594" s="994"/>
      <c r="BR594" s="994"/>
      <c r="BS594" s="272"/>
    </row>
    <row r="595" spans="1:71" s="61" customFormat="1" ht="15">
      <c r="A595" s="66" t="str">
        <f t="shared" si="1189"/>
        <v>Purchases of real estate investments</v>
      </c>
      <c r="B595" s="828"/>
      <c r="C595" s="994">
        <f t="shared" si="1190"/>
        <v>-15</v>
      </c>
      <c r="D595" s="994">
        <f t="shared" si="1190"/>
        <v>-21</v>
      </c>
      <c r="E595" s="994">
        <f t="shared" si="1190"/>
        <v>-66</v>
      </c>
      <c r="F595" s="994">
        <f t="shared" si="1190"/>
        <v>-95</v>
      </c>
      <c r="G595" s="994">
        <f t="shared" si="1190"/>
        <v>-107</v>
      </c>
      <c r="H595" s="210">
        <f t="shared" si="1190"/>
        <v>-9</v>
      </c>
      <c r="I595" s="210">
        <f t="shared" si="1191"/>
        <v>-27</v>
      </c>
      <c r="J595" s="210">
        <f t="shared" si="1191"/>
        <v>-5</v>
      </c>
      <c r="K595" s="210">
        <f t="shared" si="1191"/>
        <v>-7</v>
      </c>
      <c r="L595" s="994">
        <f t="shared" si="1192"/>
        <v>-48</v>
      </c>
      <c r="M595" s="210">
        <f t="shared" si="1192"/>
        <v>-6</v>
      </c>
      <c r="N595" s="210">
        <f t="shared" si="1193"/>
        <v>-63</v>
      </c>
      <c r="O595" s="210">
        <f t="shared" si="1193"/>
        <v>-47</v>
      </c>
      <c r="P595" s="210">
        <f t="shared" si="1193"/>
        <v>-7</v>
      </c>
      <c r="Q595" s="994">
        <f t="shared" si="1194"/>
        <v>-123</v>
      </c>
      <c r="R595" s="210">
        <f t="shared" si="1194"/>
        <v>-7</v>
      </c>
      <c r="S595" s="210">
        <f t="shared" si="1195"/>
        <v>-13</v>
      </c>
      <c r="T595" s="210">
        <f t="shared" si="1195"/>
        <v>-10</v>
      </c>
      <c r="U595" s="210">
        <f t="shared" si="1195"/>
        <v>-18</v>
      </c>
      <c r="V595" s="994">
        <f t="shared" si="1196"/>
        <v>-48</v>
      </c>
      <c r="W595" s="210">
        <f t="shared" si="1196"/>
        <v>-16</v>
      </c>
      <c r="X595" s="210">
        <f t="shared" si="1197"/>
        <v>-10</v>
      </c>
      <c r="Y595" s="210">
        <f t="shared" si="1197"/>
        <v>-14</v>
      </c>
      <c r="Z595" s="265">
        <f t="shared" si="1197"/>
        <v>-19</v>
      </c>
      <c r="AA595" s="993">
        <f t="shared" si="1198"/>
        <v>-59</v>
      </c>
      <c r="AB595" s="210">
        <f t="shared" si="1198"/>
        <v>-33</v>
      </c>
      <c r="AC595" s="210">
        <f t="shared" si="1199"/>
        <v>-11</v>
      </c>
      <c r="AD595" s="210">
        <f t="shared" si="1199"/>
        <v>-13</v>
      </c>
      <c r="AE595" s="265">
        <f t="shared" si="1199"/>
        <v>-17</v>
      </c>
      <c r="AF595" s="993">
        <f t="shared" si="1200"/>
        <v>-74</v>
      </c>
      <c r="AG595" s="210">
        <f t="shared" si="1200"/>
        <v>-77</v>
      </c>
      <c r="AH595" s="210">
        <f t="shared" si="1201"/>
        <v>-8</v>
      </c>
      <c r="AI595" s="210">
        <f t="shared" si="1201"/>
        <v>-10</v>
      </c>
      <c r="AJ595" s="265">
        <f t="shared" si="1201"/>
        <v>-12</v>
      </c>
      <c r="AK595" s="993">
        <f t="shared" si="1202"/>
        <v>-107</v>
      </c>
      <c r="AL595" s="210">
        <f t="shared" si="1202"/>
        <v>-16</v>
      </c>
      <c r="AM595" s="210">
        <f t="shared" si="1203"/>
        <v>-8</v>
      </c>
      <c r="AN595" s="210">
        <f t="shared" si="1203"/>
        <v>-9</v>
      </c>
      <c r="AO595" s="265">
        <f t="shared" si="1203"/>
        <v>-80</v>
      </c>
      <c r="AP595" s="993">
        <f t="shared" si="1223" ref="AP595:AQ595">AP542</f>
        <v>-113</v>
      </c>
      <c r="AQ595" s="210">
        <f t="shared" si="1223"/>
        <v>-5</v>
      </c>
      <c r="AR595" s="210">
        <f t="shared" si="1205"/>
        <v>-9</v>
      </c>
      <c r="AS595" s="210">
        <f t="shared" si="1205"/>
        <v>-8</v>
      </c>
      <c r="AT595" s="265">
        <f t="shared" si="1205"/>
        <v>-6</v>
      </c>
      <c r="AU595" s="993">
        <f t="shared" si="1206"/>
        <v>-28</v>
      </c>
      <c r="AV595" s="210">
        <f t="shared" si="1206"/>
        <v>-9</v>
      </c>
      <c r="AW595" s="210">
        <f t="shared" si="1207"/>
        <v>-7</v>
      </c>
      <c r="AX595" s="210">
        <f t="shared" si="1207"/>
        <v>-12</v>
      </c>
      <c r="AY595" s="265">
        <f t="shared" si="1207"/>
        <v>-13</v>
      </c>
      <c r="AZ595" s="993">
        <f t="shared" si="1208"/>
        <v>-41</v>
      </c>
      <c r="BA595" s="210">
        <f t="shared" si="1208"/>
        <v>-14</v>
      </c>
      <c r="BB595" s="210">
        <f t="shared" si="1209"/>
        <v>-12</v>
      </c>
      <c r="BC595" s="210">
        <f t="shared" si="1209"/>
        <v>-20</v>
      </c>
      <c r="BD595" s="265">
        <f t="shared" si="1210"/>
        <v>-21</v>
      </c>
      <c r="BE595" s="993">
        <f t="shared" si="1211"/>
        <v>-67</v>
      </c>
      <c r="BF595" s="210">
        <f t="shared" si="1212"/>
        <v>-13</v>
      </c>
      <c r="BG595" s="210">
        <f t="shared" si="1213"/>
        <v>-11</v>
      </c>
      <c r="BH595" s="553">
        <f t="shared" si="1214"/>
        <v>-10</v>
      </c>
      <c r="BI595" s="210"/>
      <c r="BJ595" s="994">
        <f t="shared" si="1215"/>
        <v>-34</v>
      </c>
      <c r="BK595" s="210"/>
      <c r="BL595" s="210"/>
      <c r="BM595" s="210"/>
      <c r="BN595" s="210"/>
      <c r="BO595" s="994">
        <f t="shared" si="1216"/>
        <v>0</v>
      </c>
      <c r="BP595" s="994"/>
      <c r="BQ595" s="994"/>
      <c r="BR595" s="994"/>
      <c r="BS595" s="272"/>
    </row>
    <row r="596" spans="1:71" s="61" customFormat="1" ht="15">
      <c r="A596" s="66" t="str">
        <f t="shared" si="1189"/>
        <v>Purchases of other investments</v>
      </c>
      <c r="B596" s="828"/>
      <c r="C596" s="994">
        <f t="shared" si="1190"/>
        <v>-349</v>
      </c>
      <c r="D596" s="994">
        <f t="shared" si="1190"/>
        <v>-514</v>
      </c>
      <c r="E596" s="994">
        <f t="shared" si="1190"/>
        <v>-889</v>
      </c>
      <c r="F596" s="994">
        <f t="shared" si="1190"/>
        <v>-534</v>
      </c>
      <c r="G596" s="994">
        <f t="shared" si="1190"/>
        <v>-446</v>
      </c>
      <c r="H596" s="210">
        <f t="shared" si="1190"/>
        <v>-113</v>
      </c>
      <c r="I596" s="210">
        <f t="shared" si="1191"/>
        <v>-113</v>
      </c>
      <c r="J596" s="210">
        <f t="shared" si="1191"/>
        <v>-180</v>
      </c>
      <c r="K596" s="210">
        <f t="shared" si="1191"/>
        <v>-148</v>
      </c>
      <c r="L596" s="994">
        <f t="shared" si="1192"/>
        <v>-554</v>
      </c>
      <c r="M596" s="210">
        <f t="shared" si="1192"/>
        <v>-168</v>
      </c>
      <c r="N596" s="210">
        <f t="shared" si="1193"/>
        <v>-107</v>
      </c>
      <c r="O596" s="210">
        <f t="shared" si="1193"/>
        <v>-114</v>
      </c>
      <c r="P596" s="210">
        <f t="shared" si="1193"/>
        <v>-145</v>
      </c>
      <c r="Q596" s="994">
        <f t="shared" si="1194"/>
        <v>-534</v>
      </c>
      <c r="R596" s="210">
        <f t="shared" si="1194"/>
        <v>-162</v>
      </c>
      <c r="S596" s="210">
        <f t="shared" si="1195"/>
        <v>-128</v>
      </c>
      <c r="T596" s="210">
        <f t="shared" si="1195"/>
        <v>-132</v>
      </c>
      <c r="U596" s="210">
        <f t="shared" si="1195"/>
        <v>-158</v>
      </c>
      <c r="V596" s="994">
        <f t="shared" si="1196"/>
        <v>-580</v>
      </c>
      <c r="W596" s="210">
        <f t="shared" si="1196"/>
        <v>-124</v>
      </c>
      <c r="X596" s="210">
        <f t="shared" si="1197"/>
        <v>-135</v>
      </c>
      <c r="Y596" s="210">
        <f t="shared" si="1197"/>
        <v>-133</v>
      </c>
      <c r="Z596" s="265">
        <f t="shared" si="1197"/>
        <v>-149</v>
      </c>
      <c r="AA596" s="993">
        <f t="shared" si="1198"/>
        <v>-541</v>
      </c>
      <c r="AB596" s="210">
        <f t="shared" si="1198"/>
        <v>-142</v>
      </c>
      <c r="AC596" s="210">
        <f t="shared" si="1199"/>
        <v>-133</v>
      </c>
      <c r="AD596" s="210">
        <f t="shared" si="1199"/>
        <v>-117</v>
      </c>
      <c r="AE596" s="265">
        <f t="shared" si="1199"/>
        <v>-145</v>
      </c>
      <c r="AF596" s="993">
        <f t="shared" si="1200"/>
        <v>-537</v>
      </c>
      <c r="AG596" s="210">
        <f t="shared" si="1200"/>
        <v>-146</v>
      </c>
      <c r="AH596" s="210">
        <f t="shared" si="1201"/>
        <v>-116</v>
      </c>
      <c r="AI596" s="210">
        <f t="shared" si="1201"/>
        <v>-107</v>
      </c>
      <c r="AJ596" s="265">
        <f t="shared" si="1201"/>
        <v>-128</v>
      </c>
      <c r="AK596" s="993">
        <f t="shared" si="1202"/>
        <v>-497</v>
      </c>
      <c r="AL596" s="210">
        <f t="shared" si="1202"/>
        <v>-103</v>
      </c>
      <c r="AM596" s="210">
        <f t="shared" si="1203"/>
        <v>-125</v>
      </c>
      <c r="AN596" s="210">
        <f t="shared" si="1203"/>
        <v>-93</v>
      </c>
      <c r="AO596" s="265">
        <f t="shared" si="1203"/>
        <v>-166</v>
      </c>
      <c r="AP596" s="993">
        <f t="shared" si="1224" ref="AP596:AQ596">AP543</f>
        <v>-487</v>
      </c>
      <c r="AQ596" s="210">
        <f t="shared" si="1224"/>
        <v>-97</v>
      </c>
      <c r="AR596" s="210">
        <f t="shared" si="1205"/>
        <v>-124</v>
      </c>
      <c r="AS596" s="210">
        <f t="shared" si="1205"/>
        <v>-422</v>
      </c>
      <c r="AT596" s="265">
        <f t="shared" si="1205"/>
        <v>123</v>
      </c>
      <c r="AU596" s="993">
        <f t="shared" si="1206"/>
        <v>-520</v>
      </c>
      <c r="AV596" s="210">
        <f t="shared" si="1206"/>
        <v>-135</v>
      </c>
      <c r="AW596" s="210">
        <f t="shared" si="1207"/>
        <v>-117</v>
      </c>
      <c r="AX596" s="210">
        <f t="shared" si="1207"/>
        <v>-162</v>
      </c>
      <c r="AY596" s="265">
        <f t="shared" si="1207"/>
        <v>-160</v>
      </c>
      <c r="AZ596" s="993">
        <f t="shared" si="1208"/>
        <v>-574</v>
      </c>
      <c r="BA596" s="210">
        <f t="shared" si="1208"/>
        <v>-139</v>
      </c>
      <c r="BB596" s="210">
        <f t="shared" si="1209"/>
        <v>-116</v>
      </c>
      <c r="BC596" s="210">
        <f t="shared" si="1209"/>
        <v>-120</v>
      </c>
      <c r="BD596" s="265">
        <f t="shared" si="1210"/>
        <v>-120</v>
      </c>
      <c r="BE596" s="993">
        <f t="shared" si="1211"/>
        <v>-495</v>
      </c>
      <c r="BF596" s="210">
        <f t="shared" si="1212"/>
        <v>-90</v>
      </c>
      <c r="BG596" s="210">
        <f t="shared" si="1213"/>
        <v>-95</v>
      </c>
      <c r="BH596" s="553">
        <f t="shared" si="1214"/>
        <v>-98</v>
      </c>
      <c r="BI596" s="210"/>
      <c r="BJ596" s="994">
        <f t="shared" si="1215"/>
        <v>-283</v>
      </c>
      <c r="BK596" s="210"/>
      <c r="BL596" s="210"/>
      <c r="BM596" s="210"/>
      <c r="BN596" s="210"/>
      <c r="BO596" s="994">
        <f t="shared" si="1216"/>
        <v>0</v>
      </c>
      <c r="BP596" s="994"/>
      <c r="BQ596" s="994"/>
      <c r="BR596" s="994"/>
      <c r="BS596" s="272"/>
    </row>
    <row r="597" spans="1:71" s="61" customFormat="1" ht="15">
      <c r="A597" s="66" t="str">
        <f t="shared" si="1189"/>
        <v>Net purchases of short-term securities</v>
      </c>
      <c r="B597" s="828"/>
      <c r="C597" s="994">
        <f t="shared" si="1190"/>
        <v>370</v>
      </c>
      <c r="D597" s="994">
        <f t="shared" si="1190"/>
        <v>-699</v>
      </c>
      <c r="E597" s="994">
        <f t="shared" si="1190"/>
        <v>2018</v>
      </c>
      <c r="F597" s="994">
        <f t="shared" si="1190"/>
        <v>117</v>
      </c>
      <c r="G597" s="994">
        <f t="shared" si="1190"/>
        <v>111</v>
      </c>
      <c r="H597" s="210">
        <f t="shared" si="1190"/>
        <v>-160</v>
      </c>
      <c r="I597" s="210">
        <f t="shared" si="1191"/>
        <v>220</v>
      </c>
      <c r="J597" s="210">
        <f t="shared" si="1191"/>
        <v>-1223</v>
      </c>
      <c r="K597" s="210">
        <f t="shared" si="1191"/>
        <v>665</v>
      </c>
      <c r="L597" s="994">
        <f t="shared" si="1192"/>
        <v>-498</v>
      </c>
      <c r="M597" s="210">
        <f t="shared" si="1192"/>
        <v>-134</v>
      </c>
      <c r="N597" s="210">
        <f t="shared" si="1193"/>
        <v>567</v>
      </c>
      <c r="O597" s="210">
        <f t="shared" si="1193"/>
        <v>-1215</v>
      </c>
      <c r="P597" s="210">
        <f t="shared" si="1193"/>
        <v>456</v>
      </c>
      <c r="Q597" s="994">
        <f t="shared" si="1194"/>
        <v>-326</v>
      </c>
      <c r="R597" s="210">
        <f t="shared" si="1194"/>
        <v>85</v>
      </c>
      <c r="S597" s="210">
        <f t="shared" si="1195"/>
        <v>596</v>
      </c>
      <c r="T597" s="210">
        <f t="shared" si="1195"/>
        <v>-816</v>
      </c>
      <c r="U597" s="210">
        <f t="shared" si="1195"/>
        <v>-64</v>
      </c>
      <c r="V597" s="994">
        <f t="shared" si="1196"/>
        <v>-199</v>
      </c>
      <c r="W597" s="210">
        <f t="shared" si="1196"/>
        <v>49</v>
      </c>
      <c r="X597" s="210">
        <f t="shared" si="1197"/>
        <v>-473</v>
      </c>
      <c r="Y597" s="210">
        <f t="shared" si="1197"/>
        <v>-566</v>
      </c>
      <c r="Z597" s="265">
        <f t="shared" si="1197"/>
        <v>964</v>
      </c>
      <c r="AA597" s="993">
        <f t="shared" si="1198"/>
        <v>-26</v>
      </c>
      <c r="AB597" s="210">
        <f t="shared" si="1198"/>
        <v>410</v>
      </c>
      <c r="AC597" s="210">
        <f t="shared" si="1199"/>
        <v>792</v>
      </c>
      <c r="AD597" s="210">
        <f t="shared" si="1199"/>
        <v>-746</v>
      </c>
      <c r="AE597" s="265">
        <f t="shared" si="1199"/>
        <v>452</v>
      </c>
      <c r="AF597" s="993">
        <f t="shared" si="1200"/>
        <v>908</v>
      </c>
      <c r="AG597" s="210">
        <f t="shared" si="1200"/>
        <v>-109</v>
      </c>
      <c r="AH597" s="210">
        <f t="shared" si="1201"/>
        <v>606</v>
      </c>
      <c r="AI597" s="210">
        <f t="shared" si="1201"/>
        <v>-1114</v>
      </c>
      <c r="AJ597" s="265">
        <f t="shared" si="1201"/>
        <v>-340</v>
      </c>
      <c r="AK597" s="993">
        <f t="shared" si="1202"/>
        <v>-957</v>
      </c>
      <c r="AL597" s="210">
        <f t="shared" si="1202"/>
        <v>906</v>
      </c>
      <c r="AM597" s="210">
        <f t="shared" si="1203"/>
        <v>-2053</v>
      </c>
      <c r="AN597" s="210">
        <f t="shared" si="1203"/>
        <v>-240</v>
      </c>
      <c r="AO597" s="265">
        <f t="shared" si="1203"/>
        <v>821</v>
      </c>
      <c r="AP597" s="993">
        <f t="shared" si="1225" ref="AP597:AQ597">AP544</f>
        <v>-566</v>
      </c>
      <c r="AQ597" s="210">
        <f t="shared" si="1225"/>
        <v>524</v>
      </c>
      <c r="AR597" s="210">
        <f t="shared" si="1205"/>
        <v>-718</v>
      </c>
      <c r="AS597" s="210">
        <f t="shared" si="1205"/>
        <v>948</v>
      </c>
      <c r="AT597" s="265">
        <f t="shared" si="1205"/>
        <v>917</v>
      </c>
      <c r="AU597" s="993">
        <f t="shared" si="1206"/>
        <v>1671</v>
      </c>
      <c r="AV597" s="210">
        <f t="shared" si="1206"/>
        <v>367</v>
      </c>
      <c r="AW597" s="210">
        <f t="shared" si="1207"/>
        <v>-110</v>
      </c>
      <c r="AX597" s="210">
        <f t="shared" si="1207"/>
        <v>-364</v>
      </c>
      <c r="AY597" s="265">
        <f t="shared" si="1207"/>
        <v>462</v>
      </c>
      <c r="AZ597" s="993">
        <f t="shared" si="1208"/>
        <v>355</v>
      </c>
      <c r="BA597" s="210">
        <f t="shared" si="1208"/>
        <v>228</v>
      </c>
      <c r="BB597" s="210">
        <f t="shared" si="1209"/>
        <v>-646</v>
      </c>
      <c r="BC597" s="210">
        <f t="shared" si="1209"/>
        <v>-600</v>
      </c>
      <c r="BD597" s="265">
        <f t="shared" si="1210"/>
        <v>-646</v>
      </c>
      <c r="BE597" s="993">
        <f t="shared" si="1211"/>
        <v>-1664</v>
      </c>
      <c r="BF597" s="210">
        <f t="shared" si="1212"/>
        <v>454</v>
      </c>
      <c r="BG597" s="210">
        <f t="shared" si="1213"/>
        <v>330</v>
      </c>
      <c r="BH597" s="553">
        <f t="shared" si="1214"/>
        <v>-1126</v>
      </c>
      <c r="BI597" s="210"/>
      <c r="BJ597" s="994">
        <f t="shared" si="1215"/>
        <v>-342</v>
      </c>
      <c r="BK597" s="210"/>
      <c r="BL597" s="210"/>
      <c r="BM597" s="210"/>
      <c r="BN597" s="210"/>
      <c r="BO597" s="994">
        <f t="shared" si="1216"/>
        <v>0</v>
      </c>
      <c r="BP597" s="994"/>
      <c r="BQ597" s="994"/>
      <c r="BR597" s="994"/>
      <c r="BS597" s="272"/>
    </row>
    <row r="598" spans="1:71" s="61" customFormat="1" ht="15">
      <c r="A598" s="66" t="str">
        <f t="shared" si="1189"/>
        <v>Securities transactions in course of settlement</v>
      </c>
      <c r="B598" s="828"/>
      <c r="C598" s="994">
        <f t="shared" si="1190"/>
        <v>395</v>
      </c>
      <c r="D598" s="994">
        <f t="shared" si="1190"/>
        <v>-30</v>
      </c>
      <c r="E598" s="994">
        <f t="shared" si="1190"/>
        <v>0</v>
      </c>
      <c r="F598" s="994">
        <f t="shared" si="1190"/>
        <v>-23</v>
      </c>
      <c r="G598" s="994">
        <f t="shared" si="1190"/>
        <v>21</v>
      </c>
      <c r="H598" s="210">
        <f t="shared" si="1190"/>
        <v>240</v>
      </c>
      <c r="I598" s="210">
        <f t="shared" si="1191"/>
        <v>-36</v>
      </c>
      <c r="J598" s="210">
        <f t="shared" si="1191"/>
        <v>-85</v>
      </c>
      <c r="K598" s="210">
        <f t="shared" si="1191"/>
        <v>-37</v>
      </c>
      <c r="L598" s="994">
        <f t="shared" si="1192"/>
        <v>82</v>
      </c>
      <c r="M598" s="210">
        <f t="shared" si="1192"/>
        <v>305</v>
      </c>
      <c r="N598" s="210">
        <f t="shared" si="1193"/>
        <v>-122</v>
      </c>
      <c r="O598" s="210">
        <f t="shared" si="1193"/>
        <v>-80</v>
      </c>
      <c r="P598" s="210">
        <f t="shared" si="1193"/>
        <v>-216</v>
      </c>
      <c r="Q598" s="994">
        <f t="shared" si="1194"/>
        <v>-113</v>
      </c>
      <c r="R598" s="210">
        <f t="shared" si="1194"/>
        <v>291</v>
      </c>
      <c r="S598" s="210">
        <f t="shared" si="1195"/>
        <v>170</v>
      </c>
      <c r="T598" s="210">
        <f t="shared" si="1195"/>
        <v>50</v>
      </c>
      <c r="U598" s="210">
        <f t="shared" si="1195"/>
        <v>-532</v>
      </c>
      <c r="V598" s="994">
        <f t="shared" si="1196"/>
        <v>-21</v>
      </c>
      <c r="W598" s="210">
        <f t="shared" si="1196"/>
        <v>157</v>
      </c>
      <c r="X598" s="210">
        <f t="shared" si="1197"/>
        <v>13</v>
      </c>
      <c r="Y598" s="210">
        <f t="shared" si="1197"/>
        <v>-48</v>
      </c>
      <c r="Z598" s="265">
        <f t="shared" si="1197"/>
        <v>-169</v>
      </c>
      <c r="AA598" s="993">
        <f t="shared" si="1198"/>
        <v>-47</v>
      </c>
      <c r="AB598" s="210">
        <f t="shared" si="1198"/>
        <v>202</v>
      </c>
      <c r="AC598" s="210">
        <f t="shared" si="1199"/>
        <v>77</v>
      </c>
      <c r="AD598" s="210">
        <f t="shared" si="1199"/>
        <v>-106</v>
      </c>
      <c r="AE598" s="265">
        <f t="shared" si="1199"/>
        <v>-229</v>
      </c>
      <c r="AF598" s="993">
        <f t="shared" si="1200"/>
        <v>-56</v>
      </c>
      <c r="AG598" s="210">
        <f t="shared" si="1200"/>
        <v>295</v>
      </c>
      <c r="AH598" s="210">
        <f t="shared" si="1201"/>
        <v>-72</v>
      </c>
      <c r="AI598" s="210">
        <f t="shared" si="1201"/>
        <v>209</v>
      </c>
      <c r="AJ598" s="265">
        <f t="shared" si="1201"/>
        <v>-274</v>
      </c>
      <c r="AK598" s="993">
        <f t="shared" si="1202"/>
        <v>158</v>
      </c>
      <c r="AL598" s="210">
        <f t="shared" si="1202"/>
        <v>85</v>
      </c>
      <c r="AM598" s="210">
        <f t="shared" si="1203"/>
        <v>9</v>
      </c>
      <c r="AN598" s="210">
        <f t="shared" si="1203"/>
        <v>428</v>
      </c>
      <c r="AO598" s="265">
        <f t="shared" si="1203"/>
        <v>-569</v>
      </c>
      <c r="AP598" s="993">
        <f t="shared" si="1226" ref="AP598:AQ598">AP545</f>
        <v>-47</v>
      </c>
      <c r="AQ598" s="210">
        <f t="shared" si="1226"/>
        <v>269</v>
      </c>
      <c r="AR598" s="210">
        <f t="shared" si="1205"/>
        <v>-40</v>
      </c>
      <c r="AS598" s="210">
        <f t="shared" si="1205"/>
        <v>178</v>
      </c>
      <c r="AT598" s="265">
        <f t="shared" si="1205"/>
        <v>-426</v>
      </c>
      <c r="AU598" s="993">
        <f t="shared" si="1206"/>
        <v>-19</v>
      </c>
      <c r="AV598" s="210">
        <f t="shared" si="1206"/>
        <v>613</v>
      </c>
      <c r="AW598" s="210">
        <f t="shared" si="1207"/>
        <v>-377</v>
      </c>
      <c r="AX598" s="210">
        <f t="shared" si="1207"/>
        <v>-22</v>
      </c>
      <c r="AY598" s="265">
        <f t="shared" si="1207"/>
        <v>-193</v>
      </c>
      <c r="AZ598" s="993">
        <f t="shared" si="1208"/>
        <v>21</v>
      </c>
      <c r="BA598" s="210">
        <f t="shared" si="1208"/>
        <v>-35</v>
      </c>
      <c r="BB598" s="210">
        <f t="shared" si="1209"/>
        <v>50</v>
      </c>
      <c r="BC598" s="210">
        <f t="shared" si="1209"/>
        <v>45</v>
      </c>
      <c r="BD598" s="265">
        <f t="shared" si="1210"/>
        <v>-143</v>
      </c>
      <c r="BE598" s="993">
        <f t="shared" si="1211"/>
        <v>-83</v>
      </c>
      <c r="BF598" s="210">
        <f t="shared" si="1212"/>
        <v>111</v>
      </c>
      <c r="BG598" s="210">
        <f t="shared" si="1213"/>
        <v>247</v>
      </c>
      <c r="BH598" s="553">
        <f t="shared" si="1214"/>
        <v>24</v>
      </c>
      <c r="BI598" s="210"/>
      <c r="BJ598" s="994">
        <f t="shared" si="1215"/>
        <v>382</v>
      </c>
      <c r="BK598" s="210"/>
      <c r="BL598" s="210"/>
      <c r="BM598" s="210"/>
      <c r="BN598" s="210"/>
      <c r="BO598" s="994">
        <f t="shared" si="1216"/>
        <v>0</v>
      </c>
      <c r="BP598" s="994"/>
      <c r="BQ598" s="994"/>
      <c r="BR598" s="994"/>
      <c r="BS598" s="272"/>
    </row>
    <row r="599" spans="1:71" s="61" customFormat="1" ht="15">
      <c r="A599" s="66" t="str">
        <f t="shared" si="1189"/>
        <v>Acquisitions, net of cash acquired</v>
      </c>
      <c r="B599" s="828"/>
      <c r="C599" s="994">
        <f t="shared" si="1190"/>
        <v>0</v>
      </c>
      <c r="D599" s="994">
        <f t="shared" si="1190"/>
        <v>0</v>
      </c>
      <c r="E599" s="994">
        <f t="shared" si="1190"/>
        <v>0</v>
      </c>
      <c r="F599" s="994">
        <f t="shared" si="1190"/>
        <v>0</v>
      </c>
      <c r="G599" s="994">
        <f t="shared" si="1190"/>
        <v>-997</v>
      </c>
      <c r="H599" s="210">
        <f t="shared" si="1190"/>
        <v>-12</v>
      </c>
      <c r="I599" s="210">
        <f t="shared" si="1191"/>
        <v>0</v>
      </c>
      <c r="J599" s="210">
        <f t="shared" si="1191"/>
        <v>0</v>
      </c>
      <c r="K599" s="210">
        <f t="shared" si="1191"/>
        <v>0</v>
      </c>
      <c r="L599" s="994">
        <f t="shared" si="1192"/>
        <v>-12</v>
      </c>
      <c r="M599" s="210">
        <f t="shared" si="1192"/>
        <v>0</v>
      </c>
      <c r="N599" s="210">
        <f t="shared" si="1193"/>
        <v>0</v>
      </c>
      <c r="O599" s="210">
        <f t="shared" si="1193"/>
        <v>0</v>
      </c>
      <c r="P599" s="210">
        <f t="shared" si="1193"/>
        <v>-13</v>
      </c>
      <c r="Q599" s="994">
        <f t="shared" si="1194"/>
        <v>-13</v>
      </c>
      <c r="R599" s="210">
        <f t="shared" si="1194"/>
        <v>0</v>
      </c>
      <c r="S599" s="210">
        <f t="shared" si="1195"/>
        <v>0</v>
      </c>
      <c r="T599" s="210">
        <f t="shared" si="1195"/>
        <v>0</v>
      </c>
      <c r="U599" s="210">
        <f t="shared" si="1195"/>
        <v>0</v>
      </c>
      <c r="V599" s="994">
        <f t="shared" si="1196"/>
        <v>0</v>
      </c>
      <c r="W599" s="210">
        <f t="shared" si="1196"/>
        <v>0</v>
      </c>
      <c r="X599" s="210">
        <f t="shared" si="1197"/>
        <v>0</v>
      </c>
      <c r="Y599" s="210">
        <f t="shared" si="1197"/>
        <v>-439</v>
      </c>
      <c r="Z599" s="265">
        <f t="shared" si="1197"/>
        <v>0</v>
      </c>
      <c r="AA599" s="993">
        <f t="shared" si="1198"/>
        <v>-439</v>
      </c>
      <c r="AB599" s="210">
        <f t="shared" si="1198"/>
        <v>0</v>
      </c>
      <c r="AC599" s="210">
        <f t="shared" si="1199"/>
        <v>0</v>
      </c>
      <c r="AD599" s="210">
        <f t="shared" si="1199"/>
        <v>-4</v>
      </c>
      <c r="AE599" s="265">
        <f t="shared" si="1199"/>
        <v>0</v>
      </c>
      <c r="AF599" s="993">
        <f t="shared" si="1200"/>
        <v>-4</v>
      </c>
      <c r="AG599" s="210">
        <f t="shared" si="1200"/>
        <v>0</v>
      </c>
      <c r="AH599" s="210">
        <f t="shared" si="1201"/>
        <v>0</v>
      </c>
      <c r="AI599" s="210">
        <f t="shared" si="1201"/>
        <v>0</v>
      </c>
      <c r="AJ599" s="265">
        <f t="shared" si="1201"/>
        <v>0</v>
      </c>
      <c r="AK599" s="993">
        <f t="shared" si="1202"/>
        <v>0</v>
      </c>
      <c r="AL599" s="210">
        <f t="shared" si="1202"/>
        <v>0</v>
      </c>
      <c r="AM599" s="210">
        <f t="shared" si="1203"/>
        <v>0</v>
      </c>
      <c r="AN599" s="210">
        <f t="shared" si="1203"/>
        <v>0</v>
      </c>
      <c r="AO599" s="265">
        <f t="shared" si="1203"/>
        <v>0</v>
      </c>
      <c r="AP599" s="993">
        <f t="shared" si="1227" ref="AP599:AQ599">AP546</f>
        <v>0</v>
      </c>
      <c r="AQ599" s="210">
        <f t="shared" si="1227"/>
        <v>-38</v>
      </c>
      <c r="AR599" s="210">
        <f t="shared" si="1205"/>
        <v>0</v>
      </c>
      <c r="AS599" s="210">
        <f t="shared" si="1205"/>
        <v>0</v>
      </c>
      <c r="AT599" s="265">
        <f t="shared" si="1205"/>
        <v>0</v>
      </c>
      <c r="AU599" s="993">
        <f t="shared" si="1206"/>
        <v>-38</v>
      </c>
      <c r="AV599" s="210">
        <f t="shared" si="1206"/>
        <v>-4</v>
      </c>
      <c r="AW599" s="210">
        <f t="shared" si="1207"/>
        <v>0</v>
      </c>
      <c r="AX599" s="210">
        <f t="shared" si="1207"/>
        <v>0</v>
      </c>
      <c r="AY599" s="265">
        <f t="shared" si="1207"/>
        <v>0</v>
      </c>
      <c r="AZ599" s="993">
        <f t="shared" si="1208"/>
        <v>-4</v>
      </c>
      <c r="BA599" s="210">
        <f t="shared" si="1208"/>
        <v>0</v>
      </c>
      <c r="BB599" s="210">
        <f t="shared" si="1209"/>
        <v>0</v>
      </c>
      <c r="BC599" s="210">
        <f t="shared" si="1209"/>
        <v>0</v>
      </c>
      <c r="BD599" s="265">
        <f t="shared" si="1210"/>
        <v>0</v>
      </c>
      <c r="BE599" s="993">
        <f t="shared" si="1211"/>
        <v>0</v>
      </c>
      <c r="BF599" s="210">
        <f t="shared" si="1212"/>
        <v>-381</v>
      </c>
      <c r="BG599" s="210">
        <f t="shared" si="1213"/>
        <v>-1</v>
      </c>
      <c r="BH599" s="553">
        <f t="shared" si="1214"/>
        <v>0</v>
      </c>
      <c r="BI599" s="210"/>
      <c r="BJ599" s="994">
        <f t="shared" si="1215"/>
        <v>-382</v>
      </c>
      <c r="BK599" s="210"/>
      <c r="BL599" s="210"/>
      <c r="BM599" s="210"/>
      <c r="BN599" s="210"/>
      <c r="BO599" s="994">
        <f t="shared" si="1216"/>
        <v>0</v>
      </c>
      <c r="BP599" s="994"/>
      <c r="BQ599" s="994"/>
      <c r="BR599" s="994"/>
      <c r="BS599" s="272"/>
    </row>
    <row r="600" spans="1:71" s="61" customFormat="1" ht="15">
      <c r="A600" s="343" t="str">
        <f t="shared" si="1189"/>
        <v>Other</v>
      </c>
      <c r="B600" s="358"/>
      <c r="C600" s="996">
        <f t="shared" si="1190"/>
        <v>-326</v>
      </c>
      <c r="D600" s="996">
        <f t="shared" si="1190"/>
        <v>-318</v>
      </c>
      <c r="E600" s="996">
        <f t="shared" si="1190"/>
        <v>-371</v>
      </c>
      <c r="F600" s="996">
        <f t="shared" si="1190"/>
        <v>-323</v>
      </c>
      <c r="G600" s="996">
        <f t="shared" si="1190"/>
        <v>-373</v>
      </c>
      <c r="H600" s="205">
        <f t="shared" si="1190"/>
        <v>-60</v>
      </c>
      <c r="I600" s="205">
        <f t="shared" si="1191"/>
        <v>-92</v>
      </c>
      <c r="J600" s="205">
        <f t="shared" si="1191"/>
        <v>-110</v>
      </c>
      <c r="K600" s="205">
        <f t="shared" si="1191"/>
        <v>-96</v>
      </c>
      <c r="L600" s="996">
        <f t="shared" si="1192"/>
        <v>-358</v>
      </c>
      <c r="M600" s="205">
        <f t="shared" si="1192"/>
        <v>-90</v>
      </c>
      <c r="N600" s="205">
        <f t="shared" si="1193"/>
        <v>-88</v>
      </c>
      <c r="O600" s="205">
        <f t="shared" si="1193"/>
        <v>-44</v>
      </c>
      <c r="P600" s="205">
        <f t="shared" si="1193"/>
        <v>-82</v>
      </c>
      <c r="Q600" s="996">
        <f t="shared" si="1194"/>
        <v>-304</v>
      </c>
      <c r="R600" s="205">
        <f t="shared" si="1194"/>
        <v>-79</v>
      </c>
      <c r="S600" s="205">
        <f t="shared" si="1195"/>
        <v>-75</v>
      </c>
      <c r="T600" s="205">
        <f t="shared" si="1195"/>
        <v>-86</v>
      </c>
      <c r="U600" s="205">
        <f t="shared" si="1195"/>
        <v>-104</v>
      </c>
      <c r="V600" s="996">
        <f t="shared" si="1196"/>
        <v>-344</v>
      </c>
      <c r="W600" s="205">
        <f t="shared" si="1196"/>
        <v>-63</v>
      </c>
      <c r="X600" s="205">
        <f t="shared" si="1197"/>
        <v>-66</v>
      </c>
      <c r="Y600" s="205">
        <f t="shared" si="1197"/>
        <v>-58</v>
      </c>
      <c r="Z600" s="186">
        <f t="shared" si="1197"/>
        <v>-57</v>
      </c>
      <c r="AA600" s="995">
        <f t="shared" si="1198"/>
        <v>-244</v>
      </c>
      <c r="AB600" s="205">
        <f t="shared" si="1198"/>
        <v>-53</v>
      </c>
      <c r="AC600" s="205">
        <f t="shared" si="1199"/>
        <v>-99</v>
      </c>
      <c r="AD600" s="205">
        <f t="shared" si="1199"/>
        <v>-80</v>
      </c>
      <c r="AE600" s="186">
        <f t="shared" si="1199"/>
        <v>-86</v>
      </c>
      <c r="AF600" s="995">
        <f t="shared" si="1200"/>
        <v>-318</v>
      </c>
      <c r="AG600" s="205">
        <f t="shared" si="1200"/>
        <v>-82</v>
      </c>
      <c r="AH600" s="205">
        <f t="shared" si="1201"/>
        <v>-87</v>
      </c>
      <c r="AI600" s="205">
        <f t="shared" si="1201"/>
        <v>-74</v>
      </c>
      <c r="AJ600" s="186">
        <f t="shared" si="1201"/>
        <v>-82</v>
      </c>
      <c r="AK600" s="995">
        <f t="shared" si="1202"/>
        <v>-325</v>
      </c>
      <c r="AL600" s="205">
        <f t="shared" si="1202"/>
        <v>-69</v>
      </c>
      <c r="AM600" s="205">
        <f t="shared" si="1203"/>
        <v>-75</v>
      </c>
      <c r="AN600" s="205">
        <f t="shared" si="1203"/>
        <v>-78</v>
      </c>
      <c r="AO600" s="186">
        <f t="shared" si="1203"/>
        <v>-108</v>
      </c>
      <c r="AP600" s="995">
        <f t="shared" si="1228" ref="AP600:AQ600">AP547</f>
        <v>-330</v>
      </c>
      <c r="AQ600" s="205">
        <f t="shared" si="1228"/>
        <v>-60</v>
      </c>
      <c r="AR600" s="205">
        <f t="shared" si="1205"/>
        <v>-53</v>
      </c>
      <c r="AS600" s="205">
        <f t="shared" si="1205"/>
        <v>-86</v>
      </c>
      <c r="AT600" s="186">
        <f t="shared" si="1205"/>
        <v>-80</v>
      </c>
      <c r="AU600" s="995">
        <f t="shared" si="1206"/>
        <v>-279</v>
      </c>
      <c r="AV600" s="205">
        <f t="shared" si="1206"/>
        <v>-84</v>
      </c>
      <c r="AW600" s="205">
        <f t="shared" si="1207"/>
        <v>-75</v>
      </c>
      <c r="AX600" s="205">
        <f t="shared" si="1207"/>
        <v>-132</v>
      </c>
      <c r="AY600" s="186">
        <f t="shared" si="1207"/>
        <v>-94</v>
      </c>
      <c r="AZ600" s="995">
        <f t="shared" si="1208"/>
        <v>-385</v>
      </c>
      <c r="BA600" s="205">
        <f t="shared" si="1208"/>
        <v>-120</v>
      </c>
      <c r="BB600" s="205">
        <f t="shared" si="1209"/>
        <v>-131</v>
      </c>
      <c r="BC600" s="205">
        <f t="shared" si="1209"/>
        <v>-84</v>
      </c>
      <c r="BD600" s="186">
        <f t="shared" si="1210"/>
        <v>-127</v>
      </c>
      <c r="BE600" s="995">
        <f t="shared" si="1211"/>
        <v>-462</v>
      </c>
      <c r="BF600" s="205">
        <f t="shared" si="1212"/>
        <v>-81</v>
      </c>
      <c r="BG600" s="205">
        <f t="shared" si="1213"/>
        <v>-111</v>
      </c>
      <c r="BH600" s="658">
        <f t="shared" si="1214"/>
        <v>-113</v>
      </c>
      <c r="BI600" s="205"/>
      <c r="BJ600" s="996">
        <f t="shared" si="1215"/>
        <v>-305</v>
      </c>
      <c r="BK600" s="205"/>
      <c r="BL600" s="205"/>
      <c r="BM600" s="205"/>
      <c r="BN600" s="205"/>
      <c r="BO600" s="996">
        <f t="shared" si="1216"/>
        <v>0</v>
      </c>
      <c r="BP600" s="996"/>
      <c r="BQ600" s="996"/>
      <c r="BR600" s="996"/>
      <c r="BS600" s="272"/>
    </row>
    <row r="601" spans="1:71" s="65" customFormat="1" ht="15">
      <c r="A601" s="108" t="str">
        <f t="shared" si="1189"/>
        <v>Net CFI</v>
      </c>
      <c r="B601" s="479"/>
      <c r="C601" s="998">
        <f t="shared" si="1229" ref="C601:AM601">SUM(C588:C600)</f>
        <v>-899</v>
      </c>
      <c r="D601" s="998">
        <f t="shared" si="1229"/>
        <v>2109</v>
      </c>
      <c r="E601" s="998">
        <f t="shared" si="1229"/>
        <v>1152</v>
      </c>
      <c r="F601" s="998">
        <f t="shared" si="1229"/>
        <v>-972</v>
      </c>
      <c r="G601" s="998">
        <f t="shared" si="1229"/>
        <v>-910</v>
      </c>
      <c r="H601" s="194">
        <f t="shared" si="1229"/>
        <v>75</v>
      </c>
      <c r="I601" s="194">
        <f t="shared" si="1229"/>
        <v>412</v>
      </c>
      <c r="J601" s="194">
        <f t="shared" si="1229"/>
        <v>-889</v>
      </c>
      <c r="K601" s="194">
        <f t="shared" si="1229"/>
        <v>608</v>
      </c>
      <c r="L601" s="998">
        <f t="shared" si="1229"/>
        <v>206</v>
      </c>
      <c r="M601" s="194">
        <f t="shared" si="1229"/>
        <v>474</v>
      </c>
      <c r="N601" s="194">
        <f t="shared" si="1229"/>
        <v>291</v>
      </c>
      <c r="O601" s="194">
        <f t="shared" si="1229"/>
        <v>-1256</v>
      </c>
      <c r="P601" s="194">
        <f t="shared" si="1229"/>
        <v>808</v>
      </c>
      <c r="Q601" s="998">
        <f t="shared" si="1229"/>
        <v>317</v>
      </c>
      <c r="R601" s="194">
        <f t="shared" si="1229"/>
        <v>-146</v>
      </c>
      <c r="S601" s="194">
        <f t="shared" si="1229"/>
        <v>55</v>
      </c>
      <c r="T601" s="194">
        <f t="shared" si="1229"/>
        <v>-1043</v>
      </c>
      <c r="U601" s="194">
        <f t="shared" si="1229"/>
        <v>-326</v>
      </c>
      <c r="V601" s="998">
        <f t="shared" si="1229"/>
        <v>-1460</v>
      </c>
      <c r="W601" s="194">
        <f t="shared" si="1229"/>
        <v>-442</v>
      </c>
      <c r="X601" s="194">
        <f t="shared" si="1229"/>
        <v>-579</v>
      </c>
      <c r="Y601" s="194">
        <f t="shared" si="1229"/>
        <v>-1094</v>
      </c>
      <c r="Z601" s="193">
        <f t="shared" si="1229"/>
        <v>299</v>
      </c>
      <c r="AA601" s="997">
        <f t="shared" si="1229"/>
        <v>-1816</v>
      </c>
      <c r="AB601" s="194">
        <f t="shared" si="1229"/>
        <v>-381</v>
      </c>
      <c r="AC601" s="194">
        <f t="shared" si="1229"/>
        <v>-76</v>
      </c>
      <c r="AD601" s="194">
        <f t="shared" si="1229"/>
        <v>-1302</v>
      </c>
      <c r="AE601" s="193">
        <f t="shared" si="1229"/>
        <v>-570</v>
      </c>
      <c r="AF601" s="997">
        <f t="shared" si="1229"/>
        <v>-2329</v>
      </c>
      <c r="AG601" s="194">
        <f t="shared" si="1229"/>
        <v>-586</v>
      </c>
      <c r="AH601" s="194">
        <f t="shared" si="1229"/>
        <v>-115</v>
      </c>
      <c r="AI601" s="194">
        <f t="shared" si="1229"/>
        <v>-1346</v>
      </c>
      <c r="AJ601" s="193">
        <f t="shared" si="1229"/>
        <v>-855</v>
      </c>
      <c r="AK601" s="997">
        <f t="shared" si="1229"/>
        <v>-2902</v>
      </c>
      <c r="AL601" s="194">
        <f t="shared" si="1229"/>
        <v>84</v>
      </c>
      <c r="AM601" s="194">
        <f t="shared" si="1229"/>
        <v>-1898</v>
      </c>
      <c r="AN601" s="194">
        <f>SUM(AN588:AN600)</f>
        <v>-2163</v>
      </c>
      <c r="AO601" s="193">
        <f t="shared" si="1230" ref="AO601:AP601">SUM(AO588:AO600)</f>
        <v>-915</v>
      </c>
      <c r="AP601" s="997">
        <f t="shared" si="1230"/>
        <v>-4892</v>
      </c>
      <c r="AQ601" s="194">
        <f t="shared" si="1231" ref="AQ601">SUM(AQ588:AQ600)</f>
        <v>-774</v>
      </c>
      <c r="AR601" s="194">
        <f t="shared" si="1232" ref="AR601:AW601">SUM(AR588:AR600)</f>
        <v>-2011</v>
      </c>
      <c r="AS601" s="194">
        <f t="shared" si="1232"/>
        <v>-1637</v>
      </c>
      <c r="AT601" s="193">
        <f t="shared" si="1232"/>
        <v>-774</v>
      </c>
      <c r="AU601" s="997">
        <f t="shared" si="1232"/>
        <v>-5196</v>
      </c>
      <c r="AV601" s="194">
        <f t="shared" si="1232"/>
        <v>-657</v>
      </c>
      <c r="AW601" s="194">
        <f t="shared" si="1232"/>
        <v>-710</v>
      </c>
      <c r="AX601" s="194">
        <f t="shared" si="1233" ref="AX601:BJ601">SUM(AX588:AX600)</f>
        <v>-1687</v>
      </c>
      <c r="AY601" s="193">
        <f t="shared" si="1233"/>
        <v>-674</v>
      </c>
      <c r="AZ601" s="997">
        <f t="shared" si="1233"/>
        <v>-3728</v>
      </c>
      <c r="BA601" s="194">
        <f t="shared" si="1234" ref="BA601:BI601">SUM(BA588:BA600)</f>
        <v>-455</v>
      </c>
      <c r="BB601" s="194">
        <f t="shared" si="1234"/>
        <v>-1857</v>
      </c>
      <c r="BC601" s="194">
        <f t="shared" si="1234"/>
        <v>-2725</v>
      </c>
      <c r="BD601" s="193">
        <f t="shared" si="1234"/>
        <v>-1784</v>
      </c>
      <c r="BE601" s="997">
        <f t="shared" si="1234"/>
        <v>-6821</v>
      </c>
      <c r="BF601" s="194">
        <f>SUM(BF588:BF600)</f>
        <v>-1037</v>
      </c>
      <c r="BG601" s="194">
        <f>SUM(BG588:BG600)</f>
        <v>-1143</v>
      </c>
      <c r="BH601" s="962">
        <f>SUM(BH588:BH600)</f>
        <v>-3391</v>
      </c>
      <c r="BI601" s="194">
        <f t="shared" si="1234"/>
        <v>4863.8000000000029</v>
      </c>
      <c r="BJ601" s="998">
        <f t="shared" si="1233"/>
        <v>-707.19999999999709</v>
      </c>
      <c r="BK601" s="194">
        <f t="shared" si="1235" ref="BK601:BR601">SUM(BK588:BK600)</f>
        <v>6362.0500000000029</v>
      </c>
      <c r="BL601" s="194">
        <f t="shared" si="1235"/>
        <v>-7077.070000000007</v>
      </c>
      <c r="BM601" s="194">
        <f t="shared" si="1235"/>
        <v>-6057.7799999999988</v>
      </c>
      <c r="BN601" s="194">
        <f t="shared" si="1235"/>
        <v>4961.0760000000009</v>
      </c>
      <c r="BO601" s="998">
        <f t="shared" si="1235"/>
        <v>-1811.724000000002</v>
      </c>
      <c r="BP601" s="998">
        <f t="shared" si="1235"/>
        <v>-923.97924000000057</v>
      </c>
      <c r="BQ601" s="998">
        <f t="shared" si="1235"/>
        <v>-933.21903239999665</v>
      </c>
      <c r="BR601" s="998">
        <f t="shared" si="1235"/>
        <v>-942.55122272399603</v>
      </c>
      <c r="BS601" s="271"/>
    </row>
    <row r="602" spans="1:71" s="65" customFormat="1" ht="15">
      <c r="A602" s="453"/>
      <c r="B602" s="480"/>
      <c r="C602" s="1009"/>
      <c r="D602" s="1009"/>
      <c r="E602" s="1009"/>
      <c r="F602" s="1009"/>
      <c r="G602" s="1009"/>
      <c r="H602" s="199"/>
      <c r="I602" s="199"/>
      <c r="J602" s="199"/>
      <c r="K602" s="199"/>
      <c r="L602" s="1009"/>
      <c r="M602" s="199"/>
      <c r="N602" s="199"/>
      <c r="O602" s="199"/>
      <c r="P602" s="199"/>
      <c r="Q602" s="1009"/>
      <c r="R602" s="199"/>
      <c r="S602" s="199"/>
      <c r="T602" s="199"/>
      <c r="U602" s="199"/>
      <c r="V602" s="1009"/>
      <c r="W602" s="199"/>
      <c r="X602" s="199"/>
      <c r="Y602" s="199"/>
      <c r="Z602" s="199"/>
      <c r="AA602" s="1009"/>
      <c r="AB602" s="199"/>
      <c r="AC602" s="199"/>
      <c r="AD602" s="199"/>
      <c r="AE602" s="199"/>
      <c r="AF602" s="1009"/>
      <c r="AG602" s="199"/>
      <c r="AH602" s="199"/>
      <c r="AI602" s="199"/>
      <c r="AJ602" s="199"/>
      <c r="AK602" s="1009"/>
      <c r="AL602" s="199"/>
      <c r="AM602" s="199"/>
      <c r="AN602" s="199"/>
      <c r="AO602" s="199"/>
      <c r="AP602" s="1009"/>
      <c r="AQ602" s="199"/>
      <c r="AR602" s="199"/>
      <c r="AS602" s="199"/>
      <c r="AT602" s="199"/>
      <c r="AU602" s="1009"/>
      <c r="AV602" s="199"/>
      <c r="AW602" s="199"/>
      <c r="AX602" s="199"/>
      <c r="AY602" s="199"/>
      <c r="AZ602" s="1009"/>
      <c r="BA602" s="199"/>
      <c r="BB602" s="199"/>
      <c r="BC602" s="199"/>
      <c r="BD602" s="199"/>
      <c r="BE602" s="1009"/>
      <c r="BF602" s="199"/>
      <c r="BG602" s="199"/>
      <c r="BH602" s="554"/>
      <c r="BI602" s="199"/>
      <c r="BJ602" s="1009"/>
      <c r="BK602" s="199"/>
      <c r="BL602" s="199"/>
      <c r="BM602" s="199"/>
      <c r="BN602" s="199"/>
      <c r="BO602" s="1009"/>
      <c r="BP602" s="1009"/>
      <c r="BQ602" s="1009"/>
      <c r="BR602" s="1009"/>
      <c r="BS602" s="271"/>
    </row>
    <row r="603" spans="1:71" s="65" customFormat="1" ht="15">
      <c r="A603" s="67" t="str">
        <f t="shared" si="1236" ref="A603:A611">A550</f>
        <v>CFF</v>
      </c>
      <c r="B603" s="480"/>
      <c r="C603" s="1009"/>
      <c r="D603" s="1009"/>
      <c r="E603" s="1009"/>
      <c r="F603" s="1009"/>
      <c r="G603" s="1009"/>
      <c r="H603" s="199"/>
      <c r="I603" s="199"/>
      <c r="J603" s="199"/>
      <c r="K603" s="199"/>
      <c r="L603" s="1009"/>
      <c r="M603" s="199"/>
      <c r="N603" s="199"/>
      <c r="O603" s="199"/>
      <c r="P603" s="199"/>
      <c r="Q603" s="1009"/>
      <c r="R603" s="199"/>
      <c r="S603" s="199"/>
      <c r="T603" s="199"/>
      <c r="U603" s="199"/>
      <c r="V603" s="1009"/>
      <c r="W603" s="199"/>
      <c r="X603" s="199"/>
      <c r="Y603" s="199"/>
      <c r="Z603" s="199"/>
      <c r="AA603" s="1009"/>
      <c r="AB603" s="199"/>
      <c r="AC603" s="199"/>
      <c r="AD603" s="199"/>
      <c r="AE603" s="199"/>
      <c r="AF603" s="1009"/>
      <c r="AG603" s="199"/>
      <c r="AH603" s="199"/>
      <c r="AI603" s="199"/>
      <c r="AJ603" s="199"/>
      <c r="AK603" s="1009"/>
      <c r="AL603" s="199"/>
      <c r="AM603" s="199"/>
      <c r="AN603" s="199"/>
      <c r="AO603" s="199"/>
      <c r="AP603" s="1009"/>
      <c r="AQ603" s="199"/>
      <c r="AR603" s="199"/>
      <c r="AS603" s="199"/>
      <c r="AT603" s="199"/>
      <c r="AU603" s="1009"/>
      <c r="AV603" s="199"/>
      <c r="AW603" s="199"/>
      <c r="AX603" s="199"/>
      <c r="AY603" s="199"/>
      <c r="AZ603" s="1009"/>
      <c r="BA603" s="199"/>
      <c r="BB603" s="199"/>
      <c r="BC603" s="199"/>
      <c r="BD603" s="199"/>
      <c r="BE603" s="1009"/>
      <c r="BF603" s="199"/>
      <c r="BG603" s="199"/>
      <c r="BH603" s="554"/>
      <c r="BI603" s="199"/>
      <c r="BJ603" s="1009"/>
      <c r="BK603" s="199"/>
      <c r="BL603" s="199"/>
      <c r="BM603" s="199"/>
      <c r="BN603" s="199"/>
      <c r="BO603" s="1009"/>
      <c r="BP603" s="1009"/>
      <c r="BQ603" s="1009"/>
      <c r="BR603" s="1009"/>
      <c r="BS603" s="271"/>
    </row>
    <row r="604" spans="1:71" s="61" customFormat="1" ht="15">
      <c r="A604" s="66" t="str">
        <f t="shared" si="1236"/>
        <v>Treasury stock acquired - share repurchase authorization</v>
      </c>
      <c r="B604" s="828"/>
      <c r="C604" s="994">
        <f t="shared" si="1237" ref="C604:H610">C551</f>
        <v>-3259</v>
      </c>
      <c r="D604" s="994">
        <f t="shared" si="1237"/>
        <v>-4998</v>
      </c>
      <c r="E604" s="994">
        <f t="shared" si="1237"/>
        <v>-2919</v>
      </c>
      <c r="F604" s="994">
        <f t="shared" si="1237"/>
        <v>-1474</v>
      </c>
      <c r="G604" s="994">
        <f t="shared" si="1237"/>
        <v>-2400</v>
      </c>
      <c r="H604" s="210">
        <f t="shared" si="1237"/>
        <v>-650</v>
      </c>
      <c r="I604" s="210">
        <f t="shared" si="1238" ref="I604:K610">I551-H551</f>
        <v>-875</v>
      </c>
      <c r="J604" s="210">
        <f t="shared" si="1238"/>
        <v>-750</v>
      </c>
      <c r="K604" s="210">
        <f t="shared" si="1238"/>
        <v>-1000</v>
      </c>
      <c r="L604" s="994">
        <f t="shared" si="1239" ref="L604:M610">L551</f>
        <v>-3275</v>
      </c>
      <c r="M604" s="210">
        <f t="shared" si="1239"/>
        <v>-600</v>
      </c>
      <c r="N604" s="210">
        <f t="shared" si="1240" ref="N604:P610">N551-M551</f>
        <v>-800</v>
      </c>
      <c r="O604" s="210">
        <f t="shared" si="1240"/>
        <v>-750</v>
      </c>
      <c r="P604" s="210">
        <f t="shared" si="1240"/>
        <v>-1000</v>
      </c>
      <c r="Q604" s="994">
        <f t="shared" si="1241" ref="Q604:R610">Q551</f>
        <v>-3150</v>
      </c>
      <c r="R604" s="210">
        <f t="shared" si="1241"/>
        <v>-550</v>
      </c>
      <c r="S604" s="210">
        <f t="shared" si="1242" ref="S604:U610">S551-R551</f>
        <v>-550</v>
      </c>
      <c r="T604" s="210">
        <f t="shared" si="1242"/>
        <v>-550</v>
      </c>
      <c r="U604" s="210">
        <f t="shared" si="1242"/>
        <v>-750</v>
      </c>
      <c r="V604" s="994">
        <f t="shared" si="1243" ref="V604:W610">V551</f>
        <v>-2400</v>
      </c>
      <c r="W604" s="210">
        <f t="shared" si="1243"/>
        <v>-225</v>
      </c>
      <c r="X604" s="210">
        <f t="shared" si="1244" ref="X604:Z610">X551-W551</f>
        <v>-475</v>
      </c>
      <c r="Y604" s="210">
        <f t="shared" si="1244"/>
        <v>-328</v>
      </c>
      <c r="Z604" s="265">
        <f t="shared" si="1244"/>
        <v>-350</v>
      </c>
      <c r="AA604" s="993">
        <f t="shared" si="1245" ref="AA604:AB610">AA551</f>
        <v>-1378</v>
      </c>
      <c r="AB604" s="210">
        <f t="shared" si="1245"/>
        <v>-350</v>
      </c>
      <c r="AC604" s="210">
        <f t="shared" si="1246" ref="AC604:AE610">AC551-AB551</f>
        <v>-350</v>
      </c>
      <c r="AD604" s="210">
        <f t="shared" si="1246"/>
        <v>-400</v>
      </c>
      <c r="AE604" s="265">
        <f t="shared" si="1246"/>
        <v>-170</v>
      </c>
      <c r="AF604" s="993">
        <f t="shared" si="1247" ref="AF604:AG610">AF551</f>
        <v>-1270</v>
      </c>
      <c r="AG604" s="210">
        <f t="shared" si="1247"/>
        <v>-375</v>
      </c>
      <c r="AH604" s="210">
        <f t="shared" si="1248" ref="AH604:AJ610">AH551-AG551</f>
        <v>-375</v>
      </c>
      <c r="AI604" s="210">
        <f t="shared" si="1248"/>
        <v>-375</v>
      </c>
      <c r="AJ604" s="265">
        <f t="shared" si="1248"/>
        <v>-375</v>
      </c>
      <c r="AK604" s="993">
        <f t="shared" si="1249" ref="AK604:AL610">AK551</f>
        <v>-1500</v>
      </c>
      <c r="AL604" s="210">
        <f t="shared" si="1249"/>
        <v>-425</v>
      </c>
      <c r="AM604" s="210">
        <f t="shared" si="1250" ref="AM604:AO610">AM551-AL551</f>
        <v>0</v>
      </c>
      <c r="AN604" s="210">
        <f t="shared" si="1250"/>
        <v>0</v>
      </c>
      <c r="AO604" s="265">
        <f t="shared" si="1250"/>
        <v>-200</v>
      </c>
      <c r="AP604" s="993">
        <f t="shared" si="1251" ref="AP604:AQ604">AP551</f>
        <v>-625</v>
      </c>
      <c r="AQ604" s="210">
        <f t="shared" si="1251"/>
        <v>-356</v>
      </c>
      <c r="AR604" s="210">
        <f t="shared" si="1252" ref="AR604:AT610">AR551-AQ551</f>
        <v>-400</v>
      </c>
      <c r="AS604" s="210">
        <f t="shared" si="1252"/>
        <v>-600</v>
      </c>
      <c r="AT604" s="265">
        <f t="shared" si="1252"/>
        <v>-800</v>
      </c>
      <c r="AU604" s="993">
        <f t="shared" si="1253" ref="AU604:AV610">AU551</f>
        <v>-2156</v>
      </c>
      <c r="AV604" s="210">
        <f t="shared" si="1253"/>
        <v>-500</v>
      </c>
      <c r="AW604" s="210">
        <f t="shared" si="1254" ref="AW604:AY610">AW551-AV551</f>
        <v>-500</v>
      </c>
      <c r="AX604" s="210">
        <f t="shared" si="1254"/>
        <v>-500</v>
      </c>
      <c r="AY604" s="265">
        <f t="shared" si="1254"/>
        <v>-500</v>
      </c>
      <c r="AZ604" s="993">
        <f t="shared" si="1255" ref="AZ604:BA610">AZ551</f>
        <v>-2000</v>
      </c>
      <c r="BA604" s="210">
        <f t="shared" si="1255"/>
        <v>-398</v>
      </c>
      <c r="BB604" s="210">
        <f t="shared" si="1256" ref="BB604:BC610">BB551-BA551</f>
        <v>-396</v>
      </c>
      <c r="BC604" s="210">
        <f t="shared" si="1256"/>
        <v>-100</v>
      </c>
      <c r="BD604" s="265">
        <f t="shared" si="1257" ref="BD604:BD610">BD551-BC551</f>
        <v>-64</v>
      </c>
      <c r="BE604" s="993">
        <f t="shared" si="1258" ref="BE604:BE610">BE551</f>
        <v>-958</v>
      </c>
      <c r="BF604" s="210">
        <f t="shared" si="1259" ref="BF604:BF610">BF551</f>
        <v>-250</v>
      </c>
      <c r="BG604" s="210">
        <f t="shared" si="1260" ref="BG604:BG610">BG551-BF551</f>
        <v>-249</v>
      </c>
      <c r="BH604" s="553">
        <f t="shared" si="1261" ref="BH604:BH610">BH551-BG551</f>
        <v>-248</v>
      </c>
      <c r="BI604" s="210">
        <f>BI491</f>
        <v>0</v>
      </c>
      <c r="BJ604" s="994">
        <f t="shared" si="1262" ref="BJ604:BJ610">SUM(BF604,BG604,BH604,BI604)</f>
        <v>-747</v>
      </c>
      <c r="BK604" s="210">
        <f>BK491</f>
        <v>0</v>
      </c>
      <c r="BL604" s="210">
        <f>BL491</f>
        <v>0</v>
      </c>
      <c r="BM604" s="210">
        <f>BM491</f>
        <v>0</v>
      </c>
      <c r="BN604" s="210">
        <f>BN491</f>
        <v>0</v>
      </c>
      <c r="BO604" s="994">
        <f t="shared" si="1263" ref="BO604:BO610">SUM(BK604,BL604,BM604,BN604)</f>
        <v>0</v>
      </c>
      <c r="BP604" s="994">
        <f>BP491</f>
        <v>0</v>
      </c>
      <c r="BQ604" s="994">
        <f>BQ491</f>
        <v>0</v>
      </c>
      <c r="BR604" s="994">
        <f>BR491</f>
        <v>0</v>
      </c>
      <c r="BS604" s="272"/>
    </row>
    <row r="605" spans="1:71" s="61" customFormat="1" ht="15">
      <c r="A605" s="66" t="str">
        <f t="shared" si="1236"/>
        <v>Treasury stock acquired - net employee share-based compensation</v>
      </c>
      <c r="B605" s="828"/>
      <c r="C605" s="994">
        <f t="shared" si="1237"/>
        <v>-29</v>
      </c>
      <c r="D605" s="994">
        <f t="shared" si="1237"/>
        <v>-40</v>
      </c>
      <c r="E605" s="994">
        <f t="shared" si="1237"/>
        <v>-46</v>
      </c>
      <c r="F605" s="994">
        <f t="shared" si="1237"/>
        <v>-53</v>
      </c>
      <c r="G605" s="994">
        <f t="shared" si="1237"/>
        <v>-61</v>
      </c>
      <c r="H605" s="210">
        <f t="shared" si="1237"/>
        <v>-54</v>
      </c>
      <c r="I605" s="210">
        <f t="shared" si="1238"/>
        <v>-1</v>
      </c>
      <c r="J605" s="210">
        <f t="shared" si="1238"/>
        <v>-1</v>
      </c>
      <c r="K605" s="210">
        <f t="shared" si="1238"/>
        <v>-1</v>
      </c>
      <c r="L605" s="994">
        <f t="shared" si="1239"/>
        <v>-57</v>
      </c>
      <c r="M605" s="210">
        <f t="shared" si="1239"/>
        <v>-71</v>
      </c>
      <c r="N605" s="210">
        <f t="shared" si="1240"/>
        <v>-1</v>
      </c>
      <c r="O605" s="210">
        <f t="shared" si="1240"/>
        <v>-1</v>
      </c>
      <c r="P605" s="210">
        <f t="shared" si="1240"/>
        <v>-1</v>
      </c>
      <c r="Q605" s="994">
        <f t="shared" si="1241"/>
        <v>-74</v>
      </c>
      <c r="R605" s="210">
        <f t="shared" si="1241"/>
        <v>-59</v>
      </c>
      <c r="S605" s="210">
        <f t="shared" si="1242"/>
        <v>0</v>
      </c>
      <c r="T605" s="210">
        <f t="shared" si="1242"/>
        <v>-12</v>
      </c>
      <c r="U605" s="210">
        <f t="shared" si="1242"/>
        <v>-1</v>
      </c>
      <c r="V605" s="994">
        <f t="shared" si="1243"/>
        <v>-72</v>
      </c>
      <c r="W605" s="210">
        <f t="shared" si="1243"/>
        <v>-61</v>
      </c>
      <c r="X605" s="210">
        <f t="shared" si="1244"/>
        <v>0</v>
      </c>
      <c r="Y605" s="210">
        <f t="shared" si="1244"/>
        <v>0</v>
      </c>
      <c r="Z605" s="265">
        <f t="shared" si="1244"/>
        <v>-1</v>
      </c>
      <c r="AA605" s="993">
        <f t="shared" si="1245"/>
        <v>-62</v>
      </c>
      <c r="AB605" s="210">
        <f t="shared" si="1245"/>
        <v>-51</v>
      </c>
      <c r="AC605" s="210">
        <f t="shared" si="1246"/>
        <v>0</v>
      </c>
      <c r="AD605" s="210">
        <f t="shared" si="1246"/>
        <v>0</v>
      </c>
      <c r="AE605" s="265">
        <f t="shared" si="1246"/>
        <v>0</v>
      </c>
      <c r="AF605" s="993">
        <f t="shared" si="1247"/>
        <v>-51</v>
      </c>
      <c r="AG605" s="210">
        <f t="shared" si="1247"/>
        <v>-46</v>
      </c>
      <c r="AH605" s="210">
        <f t="shared" si="1248"/>
        <v>-1</v>
      </c>
      <c r="AI605" s="210">
        <f t="shared" si="1248"/>
        <v>0</v>
      </c>
      <c r="AJ605" s="265">
        <f t="shared" si="1248"/>
        <v>-1</v>
      </c>
      <c r="AK605" s="993">
        <f t="shared" si="1249"/>
        <v>-48</v>
      </c>
      <c r="AL605" s="210">
        <f t="shared" si="1249"/>
        <v>-46</v>
      </c>
      <c r="AM605" s="210">
        <f t="shared" si="1250"/>
        <v>0</v>
      </c>
      <c r="AN605" s="210">
        <f t="shared" si="1250"/>
        <v>0</v>
      </c>
      <c r="AO605" s="265">
        <f t="shared" si="1250"/>
        <v>-1</v>
      </c>
      <c r="AP605" s="993">
        <f t="shared" si="1264" ref="AP605:AQ605">AP552</f>
        <v>-47</v>
      </c>
      <c r="AQ605" s="210">
        <f t="shared" si="1264"/>
        <v>-41</v>
      </c>
      <c r="AR605" s="210">
        <f t="shared" si="1252"/>
        <v>-1</v>
      </c>
      <c r="AS605" s="210">
        <f t="shared" si="1252"/>
        <v>-1</v>
      </c>
      <c r="AT605" s="265">
        <f t="shared" si="1252"/>
        <v>-1</v>
      </c>
      <c r="AU605" s="993">
        <f t="shared" si="1253"/>
        <v>-44</v>
      </c>
      <c r="AV605" s="210">
        <f t="shared" si="1253"/>
        <v>-59</v>
      </c>
      <c r="AW605" s="210">
        <f t="shared" si="1254"/>
        <v>0</v>
      </c>
      <c r="AX605" s="210">
        <f t="shared" si="1254"/>
        <v>-1</v>
      </c>
      <c r="AY605" s="265">
        <f t="shared" si="1254"/>
        <v>-1</v>
      </c>
      <c r="AZ605" s="993">
        <f t="shared" si="1255"/>
        <v>-61</v>
      </c>
      <c r="BA605" s="210">
        <f t="shared" si="1255"/>
        <v>-62</v>
      </c>
      <c r="BB605" s="210">
        <f t="shared" si="1256"/>
        <v>0</v>
      </c>
      <c r="BC605" s="210">
        <f t="shared" si="1256"/>
        <v>-1</v>
      </c>
      <c r="BD605" s="265">
        <f t="shared" si="1257"/>
        <v>-1</v>
      </c>
      <c r="BE605" s="993">
        <f t="shared" si="1258"/>
        <v>-64</v>
      </c>
      <c r="BF605" s="210">
        <f t="shared" si="1259"/>
        <v>-110</v>
      </c>
      <c r="BG605" s="210">
        <f t="shared" si="1260"/>
        <v>-1</v>
      </c>
      <c r="BH605" s="553">
        <f t="shared" si="1261"/>
        <v>-1</v>
      </c>
      <c r="BI605" s="210"/>
      <c r="BJ605" s="994">
        <f t="shared" si="1262"/>
        <v>-112</v>
      </c>
      <c r="BK605" s="210"/>
      <c r="BL605" s="210"/>
      <c r="BM605" s="210"/>
      <c r="BN605" s="210"/>
      <c r="BO605" s="994">
        <f t="shared" si="1263"/>
        <v>0</v>
      </c>
      <c r="BP605" s="994"/>
      <c r="BQ605" s="994"/>
      <c r="BR605" s="994"/>
      <c r="BS605" s="272"/>
    </row>
    <row r="606" spans="1:71" s="61" customFormat="1" ht="15">
      <c r="A606" s="66" t="str">
        <f t="shared" si="1236"/>
        <v>Dividends paid to shareholders</v>
      </c>
      <c r="B606" s="828"/>
      <c r="C606" s="994">
        <f t="shared" si="1237"/>
        <v>-693</v>
      </c>
      <c r="D606" s="994">
        <f t="shared" si="1237"/>
        <v>-673</v>
      </c>
      <c r="E606" s="994">
        <f t="shared" si="1237"/>
        <v>-665</v>
      </c>
      <c r="F606" s="994">
        <f t="shared" si="1237"/>
        <v>-694</v>
      </c>
      <c r="G606" s="994">
        <f t="shared" si="1237"/>
        <v>-729</v>
      </c>
      <c r="H606" s="210">
        <f t="shared" si="1237"/>
        <v>-176</v>
      </c>
      <c r="I606" s="210">
        <f t="shared" si="1238"/>
        <v>-189</v>
      </c>
      <c r="J606" s="210">
        <f t="shared" si="1238"/>
        <v>-184</v>
      </c>
      <c r="K606" s="210">
        <f t="shared" si="1238"/>
        <v>-180</v>
      </c>
      <c r="L606" s="994">
        <f t="shared" si="1239"/>
        <v>-729</v>
      </c>
      <c r="M606" s="210">
        <f t="shared" si="1239"/>
        <v>-177</v>
      </c>
      <c r="N606" s="210">
        <f t="shared" si="1240"/>
        <v>-192</v>
      </c>
      <c r="O606" s="210">
        <f t="shared" si="1240"/>
        <v>-188</v>
      </c>
      <c r="P606" s="210">
        <f t="shared" si="1240"/>
        <v>-182</v>
      </c>
      <c r="Q606" s="994">
        <f t="shared" si="1241"/>
        <v>-739</v>
      </c>
      <c r="R606" s="210">
        <f t="shared" si="1241"/>
        <v>-180</v>
      </c>
      <c r="S606" s="210">
        <f t="shared" si="1242"/>
        <v>-195</v>
      </c>
      <c r="T606" s="210">
        <f t="shared" si="1242"/>
        <v>-194</v>
      </c>
      <c r="U606" s="210">
        <f t="shared" si="1242"/>
        <v>-188</v>
      </c>
      <c r="V606" s="994">
        <f t="shared" si="1243"/>
        <v>-757</v>
      </c>
      <c r="W606" s="210">
        <f t="shared" si="1243"/>
        <v>-190</v>
      </c>
      <c r="X606" s="210">
        <f t="shared" si="1244"/>
        <v>-199</v>
      </c>
      <c r="Y606" s="210">
        <f t="shared" si="1244"/>
        <v>-200</v>
      </c>
      <c r="Z606" s="265">
        <f t="shared" si="1244"/>
        <v>-196</v>
      </c>
      <c r="AA606" s="993">
        <f t="shared" si="1245"/>
        <v>-785</v>
      </c>
      <c r="AB606" s="210">
        <f t="shared" si="1245"/>
        <v>-197</v>
      </c>
      <c r="AC606" s="210">
        <f t="shared" si="1246"/>
        <v>-207</v>
      </c>
      <c r="AD606" s="210">
        <f t="shared" si="1246"/>
        <v>-207</v>
      </c>
      <c r="AE606" s="265">
        <f t="shared" si="1246"/>
        <v>-203</v>
      </c>
      <c r="AF606" s="993">
        <f t="shared" si="1247"/>
        <v>-814</v>
      </c>
      <c r="AG606" s="210">
        <f t="shared" si="1247"/>
        <v>-205</v>
      </c>
      <c r="AH606" s="210">
        <f t="shared" si="1248"/>
        <v>-214</v>
      </c>
      <c r="AI606" s="210">
        <f t="shared" si="1248"/>
        <v>-214</v>
      </c>
      <c r="AJ606" s="265">
        <f t="shared" si="1248"/>
        <v>-211</v>
      </c>
      <c r="AK606" s="993">
        <f t="shared" si="1249"/>
        <v>-844</v>
      </c>
      <c r="AL606" s="210">
        <f t="shared" si="1249"/>
        <v>-210</v>
      </c>
      <c r="AM606" s="210">
        <f t="shared" si="1250"/>
        <v>-216</v>
      </c>
      <c r="AN606" s="210">
        <f t="shared" si="1250"/>
        <v>-217</v>
      </c>
      <c r="AO606" s="265">
        <f t="shared" si="1250"/>
        <v>-218</v>
      </c>
      <c r="AP606" s="993">
        <f t="shared" si="1265" ref="AP606:AQ606">AP553</f>
        <v>-861</v>
      </c>
      <c r="AQ606" s="210">
        <f t="shared" si="1265"/>
        <v>-214</v>
      </c>
      <c r="AR606" s="210">
        <f t="shared" si="1252"/>
        <v>-222</v>
      </c>
      <c r="AS606" s="210">
        <f t="shared" si="1252"/>
        <v>-219</v>
      </c>
      <c r="AT606" s="265">
        <f t="shared" si="1252"/>
        <v>-214</v>
      </c>
      <c r="AU606" s="993">
        <f t="shared" si="1253"/>
        <v>-869</v>
      </c>
      <c r="AV606" s="210">
        <f t="shared" si="1253"/>
        <v>-213</v>
      </c>
      <c r="AW606" s="210">
        <f t="shared" si="1254"/>
        <v>-223</v>
      </c>
      <c r="AX606" s="210">
        <f t="shared" si="1254"/>
        <v>-220</v>
      </c>
      <c r="AY606" s="265">
        <f t="shared" si="1254"/>
        <v>-219</v>
      </c>
      <c r="AZ606" s="993">
        <f t="shared" si="1255"/>
        <v>-875</v>
      </c>
      <c r="BA606" s="210">
        <f t="shared" si="1255"/>
        <v>-215</v>
      </c>
      <c r="BB606" s="210">
        <f t="shared" si="1256"/>
        <v>-232</v>
      </c>
      <c r="BC606" s="210">
        <f t="shared" si="1256"/>
        <v>-229</v>
      </c>
      <c r="BD606" s="265">
        <f t="shared" si="1257"/>
        <v>-232</v>
      </c>
      <c r="BE606" s="993">
        <f t="shared" si="1258"/>
        <v>-908</v>
      </c>
      <c r="BF606" s="210">
        <f t="shared" si="1259"/>
        <v>-229</v>
      </c>
      <c r="BG606" s="210">
        <f t="shared" si="1260"/>
        <v>-244</v>
      </c>
      <c r="BH606" s="553">
        <f t="shared" si="1261"/>
        <v>-238</v>
      </c>
      <c r="BI606" s="210">
        <f ca="1">BI447</f>
        <v>-238.35000000000002</v>
      </c>
      <c r="BJ606" s="994">
        <f t="shared" ca="1" si="1262"/>
        <v>-949.35</v>
      </c>
      <c r="BK606" s="210">
        <f ca="1">BK447</f>
        <v>-238.35000000000002</v>
      </c>
      <c r="BL606" s="210">
        <f ca="1">BL447</f>
        <v>-238.35000000000002</v>
      </c>
      <c r="BM606" s="210">
        <f ca="1">BM447</f>
        <v>-238.35000000000002</v>
      </c>
      <c r="BN606" s="210">
        <f ca="1">BN447</f>
        <v>-238.35000000000002</v>
      </c>
      <c r="BO606" s="994">
        <f t="shared" ca="1" si="1263"/>
        <v>-953.40000000000009</v>
      </c>
      <c r="BP606" s="994">
        <f ca="1">BP447</f>
        <v>-953.40000000000009</v>
      </c>
      <c r="BQ606" s="994">
        <f ca="1">BQ447</f>
        <v>-953.40000000000009</v>
      </c>
      <c r="BR606" s="994">
        <f ca="1">BR447</f>
        <v>-953.40000000000009</v>
      </c>
      <c r="BS606" s="272"/>
    </row>
    <row r="607" spans="1:71" s="61" customFormat="1" ht="15">
      <c r="A607" s="66" t="str">
        <f t="shared" si="1236"/>
        <v>Payment of debt</v>
      </c>
      <c r="B607" s="828"/>
      <c r="C607" s="994">
        <f t="shared" si="1237"/>
        <v>-143</v>
      </c>
      <c r="D607" s="994">
        <f t="shared" si="1237"/>
        <v>-1160</v>
      </c>
      <c r="E607" s="994">
        <f t="shared" si="1237"/>
        <v>-8</v>
      </c>
      <c r="F607" s="994">
        <f t="shared" si="1237"/>
        <v>-258</v>
      </c>
      <c r="G607" s="994">
        <f t="shared" si="1237"/>
        <v>-500</v>
      </c>
      <c r="H607" s="210">
        <f t="shared" si="1237"/>
        <v>0</v>
      </c>
      <c r="I607" s="210">
        <f t="shared" si="1238"/>
        <v>0</v>
      </c>
      <c r="J607" s="210">
        <f t="shared" si="1238"/>
        <v>0</v>
      </c>
      <c r="K607" s="210">
        <f t="shared" si="1238"/>
        <v>0</v>
      </c>
      <c r="L607" s="994">
        <f t="shared" si="1239"/>
        <v>0</v>
      </c>
      <c r="M607" s="210">
        <f t="shared" si="1239"/>
        <v>0</v>
      </c>
      <c r="N607" s="210">
        <f t="shared" si="1240"/>
        <v>0</v>
      </c>
      <c r="O607" s="210">
        <f t="shared" si="1240"/>
        <v>0</v>
      </c>
      <c r="P607" s="210">
        <f t="shared" si="1240"/>
        <v>-400</v>
      </c>
      <c r="Q607" s="994">
        <f t="shared" si="1241"/>
        <v>-400</v>
      </c>
      <c r="R607" s="210">
        <f t="shared" si="1241"/>
        <v>0</v>
      </c>
      <c r="S607" s="210">
        <f t="shared" si="1242"/>
        <v>-400</v>
      </c>
      <c r="T607" s="210">
        <f t="shared" si="1242"/>
        <v>0</v>
      </c>
      <c r="U607" s="210">
        <f t="shared" si="1242"/>
        <v>0</v>
      </c>
      <c r="V607" s="994">
        <f t="shared" si="1243"/>
        <v>-400</v>
      </c>
      <c r="W607" s="210">
        <f t="shared" si="1243"/>
        <v>0</v>
      </c>
      <c r="X607" s="210">
        <f t="shared" si="1244"/>
        <v>-207</v>
      </c>
      <c r="Y607" s="210">
        <f t="shared" si="1244"/>
        <v>0</v>
      </c>
      <c r="Z607" s="265">
        <f t="shared" si="1244"/>
        <v>-450</v>
      </c>
      <c r="AA607" s="993">
        <f t="shared" si="1245"/>
        <v>-657</v>
      </c>
      <c r="AB607" s="210">
        <f t="shared" si="1245"/>
        <v>-100</v>
      </c>
      <c r="AC607" s="210">
        <f t="shared" si="1246"/>
        <v>-500</v>
      </c>
      <c r="AD607" s="210">
        <f t="shared" si="1246"/>
        <v>0</v>
      </c>
      <c r="AE607" s="265">
        <f t="shared" si="1246"/>
        <v>0</v>
      </c>
      <c r="AF607" s="993">
        <f t="shared" si="1247"/>
        <v>-600</v>
      </c>
      <c r="AG607" s="210">
        <f t="shared" si="1247"/>
        <v>0</v>
      </c>
      <c r="AH607" s="210">
        <f t="shared" si="1248"/>
        <v>-500</v>
      </c>
      <c r="AI607" s="210">
        <f t="shared" si="1248"/>
        <v>0</v>
      </c>
      <c r="AJ607" s="265">
        <f t="shared" si="1248"/>
        <v>0</v>
      </c>
      <c r="AK607" s="993">
        <f t="shared" si="1249"/>
        <v>-500</v>
      </c>
      <c r="AL607" s="265">
        <f t="shared" si="1249"/>
        <v>0</v>
      </c>
      <c r="AM607" s="210">
        <f t="shared" si="1250"/>
        <v>0</v>
      </c>
      <c r="AN607" s="210">
        <f t="shared" si="1250"/>
        <v>0</v>
      </c>
      <c r="AO607" s="265">
        <f t="shared" si="1250"/>
        <v>-500</v>
      </c>
      <c r="AP607" s="993">
        <f t="shared" si="1266" ref="AP607:AQ607">AP554</f>
        <v>-500</v>
      </c>
      <c r="AQ607" s="265">
        <f t="shared" si="1266"/>
        <v>0</v>
      </c>
      <c r="AR607" s="210">
        <f t="shared" si="1252"/>
        <v>0</v>
      </c>
      <c r="AS607" s="210">
        <f t="shared" si="1252"/>
        <v>0</v>
      </c>
      <c r="AT607" s="265">
        <f t="shared" si="1252"/>
        <v>0</v>
      </c>
      <c r="AU607" s="993">
        <f t="shared" si="1253"/>
        <v>0</v>
      </c>
      <c r="AV607" s="265">
        <f t="shared" si="1253"/>
        <v>0</v>
      </c>
      <c r="AW607" s="210">
        <f t="shared" si="1254"/>
        <v>0</v>
      </c>
      <c r="AX607" s="210">
        <f t="shared" si="1254"/>
        <v>0</v>
      </c>
      <c r="AY607" s="265">
        <f t="shared" si="1254"/>
        <v>0</v>
      </c>
      <c r="AZ607" s="993">
        <f t="shared" si="1255"/>
        <v>0</v>
      </c>
      <c r="BA607" s="265">
        <f t="shared" si="1255"/>
        <v>0</v>
      </c>
      <c r="BB607" s="210">
        <f t="shared" si="1256"/>
        <v>0</v>
      </c>
      <c r="BC607" s="210">
        <f t="shared" si="1256"/>
        <v>0</v>
      </c>
      <c r="BD607" s="265">
        <f t="shared" si="1257"/>
        <v>0</v>
      </c>
      <c r="BE607" s="993">
        <f t="shared" si="1258"/>
        <v>0</v>
      </c>
      <c r="BF607" s="265">
        <f t="shared" si="1259"/>
        <v>0</v>
      </c>
      <c r="BG607" s="210">
        <f t="shared" si="1260"/>
        <v>0</v>
      </c>
      <c r="BH607" s="553">
        <f t="shared" si="1261"/>
        <v>0</v>
      </c>
      <c r="BI607" s="210">
        <f>MIN(0,BI490)</f>
        <v>0</v>
      </c>
      <c r="BJ607" s="994">
        <f t="shared" si="1262"/>
        <v>0</v>
      </c>
      <c r="BK607" s="210">
        <f>MIN(0,BK490)</f>
        <v>0</v>
      </c>
      <c r="BL607" s="210">
        <f>MIN(0,BL490)</f>
        <v>0</v>
      </c>
      <c r="BM607" s="210">
        <f>MIN(0,BM490)</f>
        <v>0</v>
      </c>
      <c r="BN607" s="210">
        <f>MIN(0,BN490)</f>
        <v>0</v>
      </c>
      <c r="BO607" s="994">
        <f t="shared" si="1263"/>
        <v>0</v>
      </c>
      <c r="BP607" s="994">
        <f>MIN(0,BP490)</f>
        <v>0</v>
      </c>
      <c r="BQ607" s="994">
        <f>MIN(0,BQ490)</f>
        <v>0</v>
      </c>
      <c r="BR607" s="994">
        <f>MIN(0,BR490)</f>
        <v>0</v>
      </c>
      <c r="BS607" s="272"/>
    </row>
    <row r="608" spans="1:71" s="61" customFormat="1" ht="15">
      <c r="A608" s="66" t="str">
        <f t="shared" si="1236"/>
        <v>Issuance of debt</v>
      </c>
      <c r="B608" s="828"/>
      <c r="C608" s="994">
        <f t="shared" si="1237"/>
        <v>494</v>
      </c>
      <c r="D608" s="994">
        <f t="shared" si="1237"/>
        <v>1234</v>
      </c>
      <c r="E608" s="994">
        <f t="shared" si="1237"/>
        <v>0</v>
      </c>
      <c r="F608" s="994">
        <f t="shared" si="1237"/>
        <v>0</v>
      </c>
      <c r="G608" s="994">
        <f t="shared" si="1237"/>
        <v>494</v>
      </c>
      <c r="H608" s="210">
        <f t="shared" si="1237"/>
        <v>0</v>
      </c>
      <c r="I608" s="210">
        <f t="shared" si="1238"/>
        <v>0</v>
      </c>
      <c r="J608" s="210">
        <f t="shared" si="1238"/>
        <v>0</v>
      </c>
      <c r="K608" s="210">
        <f t="shared" si="1238"/>
        <v>0</v>
      </c>
      <c r="L608" s="994">
        <f t="shared" si="1239"/>
        <v>0</v>
      </c>
      <c r="M608" s="210">
        <f t="shared" si="1239"/>
        <v>0</v>
      </c>
      <c r="N608" s="210">
        <f t="shared" si="1240"/>
        <v>0</v>
      </c>
      <c r="O608" s="210">
        <f t="shared" si="1240"/>
        <v>392</v>
      </c>
      <c r="P608" s="210">
        <f t="shared" si="1240"/>
        <v>0</v>
      </c>
      <c r="Q608" s="994">
        <f t="shared" si="1241"/>
        <v>392</v>
      </c>
      <c r="R608" s="210">
        <f t="shared" si="1241"/>
        <v>0</v>
      </c>
      <c r="S608" s="210">
        <f t="shared" si="1242"/>
        <v>491</v>
      </c>
      <c r="T608" s="210">
        <f t="shared" si="1242"/>
        <v>0</v>
      </c>
      <c r="U608" s="210">
        <f t="shared" si="1242"/>
        <v>0</v>
      </c>
      <c r="V608" s="994">
        <f t="shared" si="1243"/>
        <v>491</v>
      </c>
      <c r="W608" s="210">
        <f t="shared" si="1243"/>
        <v>0</v>
      </c>
      <c r="X608" s="210">
        <f t="shared" si="1244"/>
        <v>689</v>
      </c>
      <c r="Y608" s="210">
        <f t="shared" si="1244"/>
        <v>0</v>
      </c>
      <c r="Z608" s="265">
        <f t="shared" si="1244"/>
        <v>100</v>
      </c>
      <c r="AA608" s="993">
        <f t="shared" si="1245"/>
        <v>789</v>
      </c>
      <c r="AB608" s="210">
        <f t="shared" si="1245"/>
        <v>491</v>
      </c>
      <c r="AC608" s="210">
        <f t="shared" si="1246"/>
        <v>0</v>
      </c>
      <c r="AD608" s="210">
        <f t="shared" si="1246"/>
        <v>100</v>
      </c>
      <c r="AE608" s="265">
        <f t="shared" si="1246"/>
        <v>0</v>
      </c>
      <c r="AF608" s="993">
        <f t="shared" si="1247"/>
        <v>591</v>
      </c>
      <c r="AG608" s="210">
        <f t="shared" si="1247"/>
        <v>492</v>
      </c>
      <c r="AH608" s="210">
        <f t="shared" si="1248"/>
        <v>0</v>
      </c>
      <c r="AI608" s="210">
        <f t="shared" si="1248"/>
        <v>0</v>
      </c>
      <c r="AJ608" s="265">
        <f t="shared" si="1248"/>
        <v>0</v>
      </c>
      <c r="AK608" s="993">
        <f t="shared" si="1249"/>
        <v>492</v>
      </c>
      <c r="AL608" s="265">
        <f t="shared" si="1249"/>
        <v>0</v>
      </c>
      <c r="AM608" s="210">
        <f t="shared" si="1250"/>
        <v>490</v>
      </c>
      <c r="AN608" s="210">
        <f t="shared" si="1250"/>
        <v>0</v>
      </c>
      <c r="AO608" s="265">
        <f t="shared" si="1250"/>
        <v>0</v>
      </c>
      <c r="AP608" s="993">
        <f t="shared" si="1267" ref="AP608:AQ608">AP555</f>
        <v>490</v>
      </c>
      <c r="AQ608" s="265">
        <f t="shared" si="1267"/>
        <v>0</v>
      </c>
      <c r="AR608" s="210">
        <f t="shared" si="1252"/>
        <v>739</v>
      </c>
      <c r="AS608" s="210">
        <f t="shared" si="1252"/>
        <v>0</v>
      </c>
      <c r="AT608" s="265">
        <f t="shared" si="1252"/>
        <v>0</v>
      </c>
      <c r="AU608" s="993">
        <f t="shared" si="1253"/>
        <v>739</v>
      </c>
      <c r="AV608" s="265">
        <f t="shared" si="1253"/>
        <v>0</v>
      </c>
      <c r="AW608" s="210">
        <f t="shared" si="1254"/>
        <v>0</v>
      </c>
      <c r="AX608" s="210">
        <f t="shared" si="1254"/>
        <v>0</v>
      </c>
      <c r="AY608" s="265">
        <f t="shared" si="1254"/>
        <v>0</v>
      </c>
      <c r="AZ608" s="993">
        <f t="shared" si="1255"/>
        <v>0</v>
      </c>
      <c r="BA608" s="265">
        <f t="shared" si="1255"/>
        <v>0</v>
      </c>
      <c r="BB608" s="210">
        <f t="shared" si="1256"/>
        <v>738</v>
      </c>
      <c r="BC608" s="210">
        <f t="shared" si="1256"/>
        <v>0</v>
      </c>
      <c r="BD608" s="265">
        <f t="shared" si="1257"/>
        <v>0</v>
      </c>
      <c r="BE608" s="993">
        <f t="shared" si="1258"/>
        <v>738</v>
      </c>
      <c r="BF608" s="265">
        <f t="shared" si="1259"/>
        <v>0</v>
      </c>
      <c r="BG608" s="210">
        <f t="shared" si="1260"/>
        <v>0</v>
      </c>
      <c r="BH608" s="553">
        <f t="shared" si="1261"/>
        <v>0</v>
      </c>
      <c r="BI608" s="210">
        <f>MAX(0,BI490)</f>
        <v>0</v>
      </c>
      <c r="BJ608" s="994">
        <f t="shared" si="1262"/>
        <v>0</v>
      </c>
      <c r="BK608" s="210">
        <f>MAX(0,BK490)</f>
        <v>0</v>
      </c>
      <c r="BL608" s="210">
        <f>MAX(0,BL490)</f>
        <v>0</v>
      </c>
      <c r="BM608" s="210">
        <f>MAX(0,BM490)</f>
        <v>0</v>
      </c>
      <c r="BN608" s="210">
        <f>MAX(0,BN490)</f>
        <v>0</v>
      </c>
      <c r="BO608" s="994">
        <f t="shared" si="1263"/>
        <v>0</v>
      </c>
      <c r="BP608" s="994">
        <f>MAX(0,BP490)</f>
        <v>0</v>
      </c>
      <c r="BQ608" s="994">
        <f>MAX(0,BQ490)</f>
        <v>0</v>
      </c>
      <c r="BR608" s="994">
        <f>MAX(0,BR490)</f>
        <v>0</v>
      </c>
      <c r="BS608" s="272"/>
    </row>
    <row r="609" spans="1:71" s="61" customFormat="1" ht="15">
      <c r="A609" s="66" t="str">
        <f t="shared" si="1236"/>
        <v>Issuance of common stock - employee share options</v>
      </c>
      <c r="B609" s="828"/>
      <c r="C609" s="994">
        <f t="shared" si="1237"/>
        <v>180</v>
      </c>
      <c r="D609" s="994">
        <f t="shared" si="1237"/>
        <v>408</v>
      </c>
      <c r="E609" s="994">
        <f t="shared" si="1237"/>
        <v>314</v>
      </c>
      <c r="F609" s="994">
        <f t="shared" si="1237"/>
        <v>295</v>
      </c>
      <c r="G609" s="994">
        <f t="shared" si="1237"/>
        <v>206</v>
      </c>
      <c r="H609" s="210">
        <f t="shared" si="1237"/>
        <v>57</v>
      </c>
      <c r="I609" s="210">
        <f t="shared" si="1238"/>
        <v>65</v>
      </c>
      <c r="J609" s="210">
        <f t="shared" si="1238"/>
        <v>32</v>
      </c>
      <c r="K609" s="210">
        <f t="shared" si="1238"/>
        <v>41</v>
      </c>
      <c r="L609" s="994">
        <f t="shared" si="1239"/>
        <v>195</v>
      </c>
      <c r="M609" s="210">
        <f t="shared" si="1239"/>
        <v>90</v>
      </c>
      <c r="N609" s="210">
        <f t="shared" si="1240"/>
        <v>27</v>
      </c>
      <c r="O609" s="210">
        <f t="shared" si="1240"/>
        <v>25</v>
      </c>
      <c r="P609" s="210">
        <f t="shared" si="1240"/>
        <v>41</v>
      </c>
      <c r="Q609" s="994">
        <f t="shared" si="1241"/>
        <v>183</v>
      </c>
      <c r="R609" s="210">
        <f t="shared" si="1241"/>
        <v>64</v>
      </c>
      <c r="S609" s="210">
        <f t="shared" si="1242"/>
        <v>65</v>
      </c>
      <c r="T609" s="210">
        <f t="shared" si="1242"/>
        <v>35</v>
      </c>
      <c r="U609" s="210">
        <f t="shared" si="1242"/>
        <v>168</v>
      </c>
      <c r="V609" s="994">
        <f t="shared" si="1243"/>
        <v>332</v>
      </c>
      <c r="W609" s="210">
        <f t="shared" si="1243"/>
        <v>83</v>
      </c>
      <c r="X609" s="210">
        <f t="shared" si="1244"/>
        <v>35</v>
      </c>
      <c r="Y609" s="210">
        <f t="shared" si="1244"/>
        <v>30</v>
      </c>
      <c r="Z609" s="265">
        <f t="shared" si="1244"/>
        <v>25</v>
      </c>
      <c r="AA609" s="993">
        <f t="shared" si="1245"/>
        <v>173</v>
      </c>
      <c r="AB609" s="210">
        <f t="shared" si="1245"/>
        <v>85</v>
      </c>
      <c r="AC609" s="210">
        <f t="shared" si="1246"/>
        <v>13</v>
      </c>
      <c r="AD609" s="210">
        <f t="shared" si="1246"/>
        <v>19</v>
      </c>
      <c r="AE609" s="265">
        <f t="shared" si="1246"/>
        <v>15</v>
      </c>
      <c r="AF609" s="993">
        <f t="shared" si="1247"/>
        <v>132</v>
      </c>
      <c r="AG609" s="210">
        <f t="shared" si="1247"/>
        <v>63</v>
      </c>
      <c r="AH609" s="210">
        <f t="shared" si="1248"/>
        <v>111</v>
      </c>
      <c r="AI609" s="210">
        <f t="shared" si="1248"/>
        <v>32</v>
      </c>
      <c r="AJ609" s="265">
        <f t="shared" si="1248"/>
        <v>7</v>
      </c>
      <c r="AK609" s="993">
        <f t="shared" si="1249"/>
        <v>213</v>
      </c>
      <c r="AL609" s="210">
        <f t="shared" si="1249"/>
        <v>31</v>
      </c>
      <c r="AM609" s="210">
        <f t="shared" si="1250"/>
        <v>34</v>
      </c>
      <c r="AN609" s="210">
        <f t="shared" si="1250"/>
        <v>7</v>
      </c>
      <c r="AO609" s="265">
        <f t="shared" si="1250"/>
        <v>55</v>
      </c>
      <c r="AP609" s="993">
        <f t="shared" si="1268" ref="AP609:AQ609">AP556</f>
        <v>127</v>
      </c>
      <c r="AQ609" s="210">
        <f t="shared" si="1268"/>
        <v>134</v>
      </c>
      <c r="AR609" s="210">
        <f t="shared" si="1252"/>
        <v>72</v>
      </c>
      <c r="AS609" s="210">
        <f t="shared" si="1252"/>
        <v>50</v>
      </c>
      <c r="AT609" s="265">
        <f t="shared" si="1252"/>
        <v>37</v>
      </c>
      <c r="AU609" s="993">
        <f t="shared" si="1253"/>
        <v>293</v>
      </c>
      <c r="AV609" s="210">
        <f t="shared" si="1253"/>
        <v>159</v>
      </c>
      <c r="AW609" s="210">
        <f t="shared" si="1254"/>
        <v>35</v>
      </c>
      <c r="AX609" s="210">
        <f t="shared" si="1254"/>
        <v>11</v>
      </c>
      <c r="AY609" s="265">
        <f t="shared" si="1254"/>
        <v>62</v>
      </c>
      <c r="AZ609" s="993">
        <f t="shared" si="1255"/>
        <v>267</v>
      </c>
      <c r="BA609" s="210">
        <f t="shared" si="1255"/>
        <v>82</v>
      </c>
      <c r="BB609" s="210">
        <f t="shared" si="1256"/>
        <v>28</v>
      </c>
      <c r="BC609" s="210">
        <f t="shared" si="1256"/>
        <v>7</v>
      </c>
      <c r="BD609" s="265">
        <f t="shared" si="1257"/>
        <v>24</v>
      </c>
      <c r="BE609" s="993">
        <f t="shared" si="1258"/>
        <v>141</v>
      </c>
      <c r="BF609" s="210">
        <f t="shared" si="1259"/>
        <v>190</v>
      </c>
      <c r="BG609" s="210">
        <f t="shared" si="1260"/>
        <v>22</v>
      </c>
      <c r="BH609" s="553">
        <f t="shared" si="1261"/>
        <v>33</v>
      </c>
      <c r="BI609" s="210"/>
      <c r="BJ609" s="994">
        <f t="shared" si="1262"/>
        <v>245</v>
      </c>
      <c r="BK609" s="210"/>
      <c r="BL609" s="210"/>
      <c r="BM609" s="210"/>
      <c r="BN609" s="210"/>
      <c r="BO609" s="994">
        <f t="shared" si="1263"/>
        <v>0</v>
      </c>
      <c r="BP609" s="994"/>
      <c r="BQ609" s="994"/>
      <c r="BR609" s="994"/>
      <c r="BS609" s="272"/>
    </row>
    <row r="610" spans="1:71" s="61" customFormat="1" ht="15">
      <c r="A610" s="343" t="str">
        <f t="shared" si="1236"/>
        <v>Excess tax benefits from share-based payment arrangements</v>
      </c>
      <c r="B610" s="358"/>
      <c r="C610" s="996">
        <f t="shared" si="1237"/>
        <v>8</v>
      </c>
      <c r="D610" s="996">
        <f t="shared" si="1237"/>
        <v>8</v>
      </c>
      <c r="E610" s="996">
        <f t="shared" si="1237"/>
        <v>18</v>
      </c>
      <c r="F610" s="996">
        <f t="shared" si="1237"/>
        <v>38</v>
      </c>
      <c r="G610" s="996">
        <f t="shared" si="1237"/>
        <v>51</v>
      </c>
      <c r="H610" s="205">
        <f t="shared" si="1237"/>
        <v>13</v>
      </c>
      <c r="I610" s="205">
        <f t="shared" si="1238"/>
        <v>11</v>
      </c>
      <c r="J610" s="205">
        <f t="shared" si="1238"/>
        <v>14</v>
      </c>
      <c r="K610" s="205">
        <f t="shared" si="1238"/>
        <v>19</v>
      </c>
      <c r="L610" s="996">
        <f t="shared" si="1239"/>
        <v>57</v>
      </c>
      <c r="M610" s="205">
        <f t="shared" si="1239"/>
        <v>27</v>
      </c>
      <c r="N610" s="205">
        <f t="shared" si="1240"/>
        <v>4</v>
      </c>
      <c r="O610" s="205">
        <f t="shared" si="1240"/>
        <v>11</v>
      </c>
      <c r="P610" s="205">
        <f t="shared" si="1240"/>
        <v>13</v>
      </c>
      <c r="Q610" s="996">
        <f t="shared" si="1241"/>
        <v>55</v>
      </c>
      <c r="R610" s="205">
        <f t="shared" si="1241"/>
        <v>0</v>
      </c>
      <c r="S610" s="205">
        <f t="shared" si="1242"/>
        <v>0</v>
      </c>
      <c r="T610" s="205">
        <f t="shared" si="1242"/>
        <v>0</v>
      </c>
      <c r="U610" s="205">
        <f t="shared" si="1242"/>
        <v>0</v>
      </c>
      <c r="V610" s="996">
        <f t="shared" si="1243"/>
        <v>0</v>
      </c>
      <c r="W610" s="205">
        <f t="shared" si="1243"/>
        <v>0</v>
      </c>
      <c r="X610" s="205">
        <f t="shared" si="1244"/>
        <v>0</v>
      </c>
      <c r="Y610" s="205">
        <f t="shared" si="1244"/>
        <v>0</v>
      </c>
      <c r="Z610" s="186">
        <f t="shared" si="1244"/>
        <v>0</v>
      </c>
      <c r="AA610" s="995">
        <f t="shared" si="1245"/>
        <v>0</v>
      </c>
      <c r="AB610" s="205">
        <f t="shared" si="1245"/>
        <v>0</v>
      </c>
      <c r="AC610" s="205">
        <f t="shared" si="1246"/>
        <v>0</v>
      </c>
      <c r="AD610" s="205">
        <f t="shared" si="1246"/>
        <v>0</v>
      </c>
      <c r="AE610" s="186">
        <f t="shared" si="1246"/>
        <v>0</v>
      </c>
      <c r="AF610" s="995">
        <f t="shared" si="1247"/>
        <v>0</v>
      </c>
      <c r="AG610" s="205">
        <f t="shared" si="1247"/>
        <v>0</v>
      </c>
      <c r="AH610" s="205">
        <f t="shared" si="1248"/>
        <v>0</v>
      </c>
      <c r="AI610" s="205">
        <f t="shared" si="1248"/>
        <v>0</v>
      </c>
      <c r="AJ610" s="186">
        <f t="shared" si="1248"/>
        <v>0</v>
      </c>
      <c r="AK610" s="995">
        <f t="shared" si="1249"/>
        <v>0</v>
      </c>
      <c r="AL610" s="205">
        <f t="shared" si="1249"/>
        <v>0</v>
      </c>
      <c r="AM610" s="205">
        <f t="shared" si="1250"/>
        <v>0</v>
      </c>
      <c r="AN610" s="205">
        <f t="shared" si="1250"/>
        <v>0</v>
      </c>
      <c r="AO610" s="186">
        <f t="shared" si="1250"/>
        <v>0</v>
      </c>
      <c r="AP610" s="995">
        <f t="shared" si="1269" ref="AP610:AQ610">AP557</f>
        <v>0</v>
      </c>
      <c r="AQ610" s="205">
        <f t="shared" si="1269"/>
        <v>0</v>
      </c>
      <c r="AR610" s="205">
        <f t="shared" si="1252"/>
        <v>0</v>
      </c>
      <c r="AS610" s="205">
        <f t="shared" si="1252"/>
        <v>0</v>
      </c>
      <c r="AT610" s="186">
        <f t="shared" si="1252"/>
        <v>0</v>
      </c>
      <c r="AU610" s="995">
        <f t="shared" si="1253"/>
        <v>0</v>
      </c>
      <c r="AV610" s="205">
        <f t="shared" si="1253"/>
        <v>0</v>
      </c>
      <c r="AW610" s="205">
        <f t="shared" si="1254"/>
        <v>0</v>
      </c>
      <c r="AX610" s="205">
        <f t="shared" si="1254"/>
        <v>0</v>
      </c>
      <c r="AY610" s="186">
        <f t="shared" si="1254"/>
        <v>0</v>
      </c>
      <c r="AZ610" s="995">
        <f t="shared" si="1255"/>
        <v>0</v>
      </c>
      <c r="BA610" s="205">
        <f t="shared" si="1255"/>
        <v>0</v>
      </c>
      <c r="BB610" s="205">
        <f t="shared" si="1256"/>
        <v>0</v>
      </c>
      <c r="BC610" s="205">
        <f t="shared" si="1256"/>
        <v>0</v>
      </c>
      <c r="BD610" s="186">
        <f t="shared" si="1257"/>
        <v>0</v>
      </c>
      <c r="BE610" s="995">
        <f t="shared" si="1258"/>
        <v>0</v>
      </c>
      <c r="BF610" s="205">
        <f t="shared" si="1259"/>
        <v>0</v>
      </c>
      <c r="BG610" s="205">
        <f t="shared" si="1260"/>
        <v>0</v>
      </c>
      <c r="BH610" s="658">
        <f t="shared" si="1261"/>
        <v>0</v>
      </c>
      <c r="BI610" s="205"/>
      <c r="BJ610" s="996">
        <f t="shared" si="1262"/>
        <v>0</v>
      </c>
      <c r="BK610" s="205"/>
      <c r="BL610" s="205"/>
      <c r="BM610" s="205"/>
      <c r="BN610" s="205"/>
      <c r="BO610" s="996">
        <f t="shared" si="1263"/>
        <v>0</v>
      </c>
      <c r="BP610" s="996"/>
      <c r="BQ610" s="996"/>
      <c r="BR610" s="996"/>
      <c r="BS610" s="272"/>
    </row>
    <row r="611" spans="1:71" s="65" customFormat="1" ht="15">
      <c r="A611" s="108" t="str">
        <f t="shared" si="1236"/>
        <v>Net CFF</v>
      </c>
      <c r="B611" s="479"/>
      <c r="C611" s="998">
        <f t="shared" si="1270" ref="C611:AM611">SUM(C604:C610)</f>
        <v>-3442</v>
      </c>
      <c r="D611" s="998">
        <f t="shared" si="1270"/>
        <v>-5221</v>
      </c>
      <c r="E611" s="998">
        <f t="shared" si="1270"/>
        <v>-3306</v>
      </c>
      <c r="F611" s="998">
        <f t="shared" si="1270"/>
        <v>-2146</v>
      </c>
      <c r="G611" s="998">
        <f t="shared" si="1270"/>
        <v>-2939</v>
      </c>
      <c r="H611" s="194">
        <f t="shared" si="1270"/>
        <v>-810</v>
      </c>
      <c r="I611" s="194">
        <f t="shared" si="1270"/>
        <v>-989</v>
      </c>
      <c r="J611" s="194">
        <f t="shared" si="1270"/>
        <v>-889</v>
      </c>
      <c r="K611" s="194">
        <f t="shared" si="1270"/>
        <v>-1121</v>
      </c>
      <c r="L611" s="998">
        <f t="shared" si="1270"/>
        <v>-3809</v>
      </c>
      <c r="M611" s="194">
        <f t="shared" si="1270"/>
        <v>-731</v>
      </c>
      <c r="N611" s="194">
        <f t="shared" si="1270"/>
        <v>-962</v>
      </c>
      <c r="O611" s="194">
        <f t="shared" si="1270"/>
        <v>-511</v>
      </c>
      <c r="P611" s="194">
        <f t="shared" si="1270"/>
        <v>-1529</v>
      </c>
      <c r="Q611" s="998">
        <f t="shared" si="1270"/>
        <v>-3733</v>
      </c>
      <c r="R611" s="194">
        <f t="shared" si="1270"/>
        <v>-725</v>
      </c>
      <c r="S611" s="194">
        <f t="shared" si="1270"/>
        <v>-589</v>
      </c>
      <c r="T611" s="194">
        <f t="shared" si="1270"/>
        <v>-721</v>
      </c>
      <c r="U611" s="194">
        <f t="shared" si="1270"/>
        <v>-771</v>
      </c>
      <c r="V611" s="998">
        <f t="shared" si="1270"/>
        <v>-2806</v>
      </c>
      <c r="W611" s="194">
        <f t="shared" si="1270"/>
        <v>-393</v>
      </c>
      <c r="X611" s="194">
        <f t="shared" si="1270"/>
        <v>-157</v>
      </c>
      <c r="Y611" s="194">
        <f t="shared" si="1270"/>
        <v>-498</v>
      </c>
      <c r="Z611" s="193">
        <f t="shared" si="1270"/>
        <v>-872</v>
      </c>
      <c r="AA611" s="997">
        <f t="shared" si="1270"/>
        <v>-1920</v>
      </c>
      <c r="AB611" s="194">
        <f t="shared" si="1270"/>
        <v>-122</v>
      </c>
      <c r="AC611" s="194">
        <f t="shared" si="1270"/>
        <v>-1044</v>
      </c>
      <c r="AD611" s="194">
        <f t="shared" si="1270"/>
        <v>-488</v>
      </c>
      <c r="AE611" s="193">
        <f t="shared" si="1270"/>
        <v>-358</v>
      </c>
      <c r="AF611" s="997">
        <f t="shared" si="1270"/>
        <v>-2012</v>
      </c>
      <c r="AG611" s="194">
        <f t="shared" si="1270"/>
        <v>-71</v>
      </c>
      <c r="AH611" s="194">
        <f t="shared" si="1270"/>
        <v>-979</v>
      </c>
      <c r="AI611" s="194">
        <f t="shared" si="1270"/>
        <v>-557</v>
      </c>
      <c r="AJ611" s="193">
        <f t="shared" si="1270"/>
        <v>-580</v>
      </c>
      <c r="AK611" s="997">
        <f t="shared" si="1270"/>
        <v>-2187</v>
      </c>
      <c r="AL611" s="194">
        <f t="shared" si="1270"/>
        <v>-650</v>
      </c>
      <c r="AM611" s="194">
        <f t="shared" si="1270"/>
        <v>308</v>
      </c>
      <c r="AN611" s="194">
        <f>SUM(AN604:AN610)</f>
        <v>-210</v>
      </c>
      <c r="AO611" s="193">
        <f t="shared" si="1271" ref="AO611:AQ611">SUM(AO604:AO610)</f>
        <v>-864</v>
      </c>
      <c r="AP611" s="997">
        <f t="shared" si="1271"/>
        <v>-1416</v>
      </c>
      <c r="AQ611" s="194">
        <f t="shared" si="1271"/>
        <v>-477</v>
      </c>
      <c r="AR611" s="194">
        <f t="shared" si="1272" ref="AR611:AW611">SUM(AR604:AR610)</f>
        <v>188</v>
      </c>
      <c r="AS611" s="194">
        <f t="shared" si="1272"/>
        <v>-770</v>
      </c>
      <c r="AT611" s="193">
        <f t="shared" si="1272"/>
        <v>-978</v>
      </c>
      <c r="AU611" s="997">
        <f t="shared" si="1272"/>
        <v>-2037</v>
      </c>
      <c r="AV611" s="194">
        <f t="shared" si="1272"/>
        <v>-613</v>
      </c>
      <c r="AW611" s="194">
        <f t="shared" si="1272"/>
        <v>-688</v>
      </c>
      <c r="AX611" s="194">
        <f t="shared" si="1273" ref="AX611:BJ611">SUM(AX604:AX610)</f>
        <v>-710</v>
      </c>
      <c r="AY611" s="193">
        <f t="shared" si="1273"/>
        <v>-658</v>
      </c>
      <c r="AZ611" s="997">
        <f t="shared" si="1273"/>
        <v>-2669</v>
      </c>
      <c r="BA611" s="194">
        <f t="shared" si="1274" ref="BA611:BI611">SUM(BA604:BA610)</f>
        <v>-593</v>
      </c>
      <c r="BB611" s="194">
        <f t="shared" si="1274"/>
        <v>138</v>
      </c>
      <c r="BC611" s="194">
        <f t="shared" si="1274"/>
        <v>-323</v>
      </c>
      <c r="BD611" s="193">
        <f t="shared" si="1274"/>
        <v>-273</v>
      </c>
      <c r="BE611" s="997">
        <f t="shared" si="1274"/>
        <v>-1051</v>
      </c>
      <c r="BF611" s="194">
        <f>SUM(BF604:BF610)</f>
        <v>-399</v>
      </c>
      <c r="BG611" s="194">
        <f>SUM(BG604:BG610)</f>
        <v>-472</v>
      </c>
      <c r="BH611" s="962">
        <f>SUM(BH604:BH610)</f>
        <v>-454</v>
      </c>
      <c r="BI611" s="194">
        <f t="shared" ca="1" si="1274"/>
        <v>-238.35000000000002</v>
      </c>
      <c r="BJ611" s="998">
        <f t="shared" ca="1" si="1273"/>
        <v>-1563.35</v>
      </c>
      <c r="BK611" s="194">
        <f ca="1" t="shared" si="1275" ref="BK611:BR611">SUM(BK604:BK610)</f>
        <v>-238.35000000000002</v>
      </c>
      <c r="BL611" s="194">
        <f t="shared" ca="1" si="1275"/>
        <v>-238.35000000000002</v>
      </c>
      <c r="BM611" s="194">
        <f t="shared" ca="1" si="1275"/>
        <v>-238.35000000000002</v>
      </c>
      <c r="BN611" s="194">
        <f t="shared" ca="1" si="1275"/>
        <v>-238.35000000000002</v>
      </c>
      <c r="BO611" s="998">
        <f t="shared" ca="1" si="1275"/>
        <v>-953.40000000000009</v>
      </c>
      <c r="BP611" s="998">
        <f t="shared" ca="1" si="1275"/>
        <v>-953.40000000000009</v>
      </c>
      <c r="BQ611" s="998">
        <f t="shared" ca="1" si="1275"/>
        <v>-953.40000000000009</v>
      </c>
      <c r="BR611" s="998">
        <f t="shared" ca="1" si="1275"/>
        <v>-953.40000000000009</v>
      </c>
      <c r="BS611" s="271"/>
    </row>
    <row r="612" spans="1:71" s="65" customFormat="1" ht="15">
      <c r="A612" s="453"/>
      <c r="B612" s="480"/>
      <c r="C612" s="1009"/>
      <c r="D612" s="1009"/>
      <c r="E612" s="1009"/>
      <c r="F612" s="1009"/>
      <c r="G612" s="1009"/>
      <c r="H612" s="199"/>
      <c r="I612" s="199"/>
      <c r="J612" s="199"/>
      <c r="K612" s="199"/>
      <c r="L612" s="1009"/>
      <c r="M612" s="199"/>
      <c r="N612" s="199"/>
      <c r="O612" s="199"/>
      <c r="P612" s="199"/>
      <c r="Q612" s="1009"/>
      <c r="R612" s="199"/>
      <c r="S612" s="199"/>
      <c r="T612" s="199"/>
      <c r="U612" s="199"/>
      <c r="V612" s="1009"/>
      <c r="W612" s="199"/>
      <c r="X612" s="199"/>
      <c r="Y612" s="199"/>
      <c r="Z612" s="199"/>
      <c r="AA612" s="1009"/>
      <c r="AB612" s="199"/>
      <c r="AC612" s="199"/>
      <c r="AD612" s="199"/>
      <c r="AE612" s="199"/>
      <c r="AF612" s="1009"/>
      <c r="AG612" s="199"/>
      <c r="AH612" s="199"/>
      <c r="AI612" s="199"/>
      <c r="AJ612" s="199"/>
      <c r="AK612" s="1009"/>
      <c r="AL612" s="199"/>
      <c r="AM612" s="199"/>
      <c r="AN612" s="199"/>
      <c r="AO612" s="199"/>
      <c r="AP612" s="1009"/>
      <c r="AQ612" s="199"/>
      <c r="AR612" s="199"/>
      <c r="AS612" s="199"/>
      <c r="AT612" s="199"/>
      <c r="AU612" s="1009"/>
      <c r="AV612" s="199"/>
      <c r="AW612" s="199"/>
      <c r="AX612" s="199"/>
      <c r="AY612" s="199"/>
      <c r="AZ612" s="1009"/>
      <c r="BA612" s="199"/>
      <c r="BB612" s="199"/>
      <c r="BC612" s="199"/>
      <c r="BD612" s="199"/>
      <c r="BE612" s="1009"/>
      <c r="BF612" s="199"/>
      <c r="BG612" s="199"/>
      <c r="BH612" s="554"/>
      <c r="BI612" s="199"/>
      <c r="BJ612" s="1009"/>
      <c r="BK612" s="199"/>
      <c r="BL612" s="199"/>
      <c r="BM612" s="199"/>
      <c r="BN612" s="199"/>
      <c r="BO612" s="1009"/>
      <c r="BP612" s="1009"/>
      <c r="BQ612" s="1009"/>
      <c r="BR612" s="1009"/>
      <c r="BS612" s="271"/>
    </row>
    <row r="613" spans="1:71" s="61" customFormat="1" ht="15">
      <c r="A613" s="68" t="str">
        <f>A560</f>
        <v>FX</v>
      </c>
      <c r="B613" s="462"/>
      <c r="C613" s="994">
        <f t="shared" si="1276" ref="C613:H613">C560</f>
        <v>15</v>
      </c>
      <c r="D613" s="994">
        <f t="shared" si="1276"/>
        <v>3</v>
      </c>
      <c r="E613" s="994">
        <f t="shared" si="1276"/>
        <v>-1</v>
      </c>
      <c r="F613" s="994">
        <f t="shared" si="1276"/>
        <v>4</v>
      </c>
      <c r="G613" s="994">
        <f t="shared" si="1276"/>
        <v>-3</v>
      </c>
      <c r="H613" s="210">
        <f t="shared" si="1276"/>
        <v>-2</v>
      </c>
      <c r="I613" s="210">
        <f>I560-H560</f>
        <v>3</v>
      </c>
      <c r="J613" s="210">
        <f>J560-I560</f>
        <v>-6</v>
      </c>
      <c r="K613" s="210">
        <f>K560-J560</f>
        <v>-5</v>
      </c>
      <c r="L613" s="994">
        <f>L560</f>
        <v>-10</v>
      </c>
      <c r="M613" s="210">
        <f>M560</f>
        <v>-8</v>
      </c>
      <c r="N613" s="210">
        <f>N560-M560</f>
        <v>4</v>
      </c>
      <c r="O613" s="210">
        <f>O560-N560</f>
        <v>-5</v>
      </c>
      <c r="P613" s="210">
        <f>P560-O560</f>
        <v>-3</v>
      </c>
      <c r="Q613" s="994">
        <f>Q560</f>
        <v>-12</v>
      </c>
      <c r="R613" s="210">
        <f>R560</f>
        <v>2</v>
      </c>
      <c r="S613" s="210">
        <f>S560-R560</f>
        <v>-5</v>
      </c>
      <c r="T613" s="210">
        <f>T560-S560</f>
        <v>-2</v>
      </c>
      <c r="U613" s="210">
        <f>U560-T560</f>
        <v>-4</v>
      </c>
      <c r="V613" s="994">
        <f>V560</f>
        <v>-9</v>
      </c>
      <c r="W613" s="210">
        <f>W560</f>
        <v>2</v>
      </c>
      <c r="X613" s="210">
        <f>X560-W560</f>
        <v>5</v>
      </c>
      <c r="Y613" s="210">
        <f>Y560-X560</f>
        <v>4</v>
      </c>
      <c r="Z613" s="265">
        <f>Z560-Y560</f>
        <v>0</v>
      </c>
      <c r="AA613" s="993">
        <f>AA560</f>
        <v>11</v>
      </c>
      <c r="AB613" s="210">
        <f>AB560</f>
        <v>2</v>
      </c>
      <c r="AC613" s="210">
        <f>AC560-AB560</f>
        <v>-6</v>
      </c>
      <c r="AD613" s="210">
        <f>AD560-AC560</f>
        <v>0</v>
      </c>
      <c r="AE613" s="265">
        <f>AE560-AD560</f>
        <v>-6</v>
      </c>
      <c r="AF613" s="993">
        <f>AF560</f>
        <v>-10</v>
      </c>
      <c r="AG613" s="210">
        <f>AG560</f>
        <v>2</v>
      </c>
      <c r="AH613" s="210">
        <f>AH560-AG560</f>
        <v>0</v>
      </c>
      <c r="AI613" s="210">
        <f>AI560-AH560</f>
        <v>-6</v>
      </c>
      <c r="AJ613" s="265">
        <f>AJ560-AI560</f>
        <v>9</v>
      </c>
      <c r="AK613" s="993">
        <f>AK560</f>
        <v>5</v>
      </c>
      <c r="AL613" s="210">
        <f>AL560</f>
        <v>-12</v>
      </c>
      <c r="AM613" s="210">
        <f>AM560-AL560</f>
        <v>5</v>
      </c>
      <c r="AN613" s="210">
        <f>AN560-AM560</f>
        <v>7</v>
      </c>
      <c r="AO613" s="265">
        <f>AO560-AN560</f>
        <v>16</v>
      </c>
      <c r="AP613" s="993">
        <f>AP560</f>
        <v>16</v>
      </c>
      <c r="AQ613" s="210">
        <f>AQ560</f>
        <v>3</v>
      </c>
      <c r="AR613" s="210">
        <f>AR560-AQ560</f>
        <v>0</v>
      </c>
      <c r="AS613" s="210">
        <f>AS560-AR560</f>
        <v>-7</v>
      </c>
      <c r="AT613" s="265">
        <f>AT560-AS560</f>
        <v>3</v>
      </c>
      <c r="AU613" s="993">
        <f>AU560</f>
        <v>-1</v>
      </c>
      <c r="AV613" s="210">
        <f>AV560</f>
        <v>-5</v>
      </c>
      <c r="AW613" s="210">
        <f>AW560-AV560</f>
        <v>-19</v>
      </c>
      <c r="AX613" s="210">
        <f>AX560-AW560</f>
        <v>-24</v>
      </c>
      <c r="AY613" s="265">
        <f>AY560-AX560</f>
        <v>18</v>
      </c>
      <c r="AZ613" s="993">
        <f>AZ560</f>
        <v>-30</v>
      </c>
      <c r="BA613" s="210">
        <f>BA560</f>
        <v>4</v>
      </c>
      <c r="BB613" s="210">
        <f>BB560-BA560</f>
        <v>8</v>
      </c>
      <c r="BC613" s="210">
        <f>BC560-BB560</f>
        <v>-10</v>
      </c>
      <c r="BD613" s="265">
        <f>BD560-BC560</f>
        <v>10</v>
      </c>
      <c r="BE613" s="993">
        <f>BE560</f>
        <v>12</v>
      </c>
      <c r="BF613" s="210">
        <f>BF560</f>
        <v>-5</v>
      </c>
      <c r="BG613" s="210">
        <f>BG560-BF560</f>
        <v>0</v>
      </c>
      <c r="BH613" s="553">
        <f>BH560-BG560</f>
        <v>13</v>
      </c>
      <c r="BI613" s="924">
        <v>0</v>
      </c>
      <c r="BJ613" s="994">
        <f>SUM(BF613,BG613,BH613,BI613)</f>
        <v>8</v>
      </c>
      <c r="BK613" s="924">
        <v>0</v>
      </c>
      <c r="BL613" s="924">
        <v>0</v>
      </c>
      <c r="BM613" s="924">
        <v>0</v>
      </c>
      <c r="BN613" s="924">
        <v>0</v>
      </c>
      <c r="BO613" s="994">
        <f>SUM(BK613,BL613,BM613,BN613)</f>
        <v>0</v>
      </c>
      <c r="BP613" s="1032">
        <v>0</v>
      </c>
      <c r="BQ613" s="1032">
        <v>0</v>
      </c>
      <c r="BR613" s="1032">
        <v>0</v>
      </c>
      <c r="BS613" s="272"/>
    </row>
    <row r="614" spans="1:71" s="65" customFormat="1" ht="15">
      <c r="A614" s="67" t="str">
        <f>A561</f>
        <v>Net Change in Cash Balance</v>
      </c>
      <c r="B614" s="480"/>
      <c r="C614" s="1009">
        <f t="shared" si="1277" ref="C614:AM614">C585+C601+C611+C613</f>
        <v>-95</v>
      </c>
      <c r="D614" s="1009">
        <f t="shared" si="1277"/>
        <v>-55</v>
      </c>
      <c r="E614" s="1009">
        <f t="shared" si="1277"/>
        <v>14</v>
      </c>
      <c r="F614" s="1009">
        <f t="shared" si="1277"/>
        <v>116</v>
      </c>
      <c r="G614" s="1009">
        <f t="shared" si="1277"/>
        <v>-36</v>
      </c>
      <c r="H614" s="199">
        <f t="shared" si="1277"/>
        <v>-34</v>
      </c>
      <c r="I614" s="199">
        <f t="shared" si="1277"/>
        <v>51</v>
      </c>
      <c r="J614" s="199">
        <f t="shared" si="1277"/>
        <v>56</v>
      </c>
      <c r="K614" s="199">
        <f t="shared" si="1277"/>
        <v>7</v>
      </c>
      <c r="L614" s="1009">
        <f t="shared" si="1277"/>
        <v>80</v>
      </c>
      <c r="M614" s="199">
        <f t="shared" si="1277"/>
        <v>-66</v>
      </c>
      <c r="N614" s="199">
        <f t="shared" si="1277"/>
        <v>9</v>
      </c>
      <c r="O614" s="199">
        <f t="shared" si="1277"/>
        <v>27</v>
      </c>
      <c r="P614" s="199">
        <f t="shared" si="1277"/>
        <v>36</v>
      </c>
      <c r="Q614" s="1009">
        <f t="shared" si="1277"/>
        <v>6</v>
      </c>
      <c r="R614" s="199">
        <f t="shared" si="1277"/>
        <v>-19</v>
      </c>
      <c r="S614" s="199">
        <f t="shared" si="1277"/>
        <v>-96</v>
      </c>
      <c r="T614" s="199">
        <f t="shared" si="1277"/>
        <v>4</v>
      </c>
      <c r="U614" s="199">
        <f t="shared" si="1277"/>
        <v>38</v>
      </c>
      <c r="V614" s="1009">
        <f t="shared" si="1277"/>
        <v>-73</v>
      </c>
      <c r="W614" s="199">
        <f t="shared" si="1277"/>
        <v>-58</v>
      </c>
      <c r="X614" s="199">
        <f t="shared" si="1277"/>
        <v>79</v>
      </c>
      <c r="Y614" s="199">
        <f t="shared" si="1277"/>
        <v>51</v>
      </c>
      <c r="Z614" s="185">
        <f t="shared" si="1277"/>
        <v>-35</v>
      </c>
      <c r="AA614" s="1008">
        <f t="shared" si="1277"/>
        <v>37</v>
      </c>
      <c r="AB614" s="199">
        <f t="shared" si="1277"/>
        <v>53</v>
      </c>
      <c r="AC614" s="199">
        <f t="shared" si="1277"/>
        <v>18</v>
      </c>
      <c r="AD614" s="199">
        <f t="shared" si="1277"/>
        <v>-56</v>
      </c>
      <c r="AE614" s="185">
        <f t="shared" si="1277"/>
        <v>14</v>
      </c>
      <c r="AF614" s="1008">
        <f t="shared" si="1277"/>
        <v>29</v>
      </c>
      <c r="AG614" s="199">
        <f t="shared" si="1277"/>
        <v>-16</v>
      </c>
      <c r="AH614" s="199">
        <f t="shared" si="1277"/>
        <v>59</v>
      </c>
      <c r="AI614" s="199">
        <f t="shared" si="1277"/>
        <v>92</v>
      </c>
      <c r="AJ614" s="185">
        <f t="shared" si="1277"/>
        <v>-14</v>
      </c>
      <c r="AK614" s="1008">
        <f t="shared" si="1277"/>
        <v>121</v>
      </c>
      <c r="AL614" s="199">
        <f t="shared" si="1277"/>
        <v>50</v>
      </c>
      <c r="AM614" s="199">
        <f t="shared" si="1277"/>
        <v>79</v>
      </c>
      <c r="AN614" s="199">
        <f>AN585+AN601+AN611+AN613</f>
        <v>-40</v>
      </c>
      <c r="AO614" s="185">
        <f t="shared" si="1278" ref="AO614:AQ614">AO585+AO601+AO611+AO613</f>
        <v>138</v>
      </c>
      <c r="AP614" s="1008">
        <f t="shared" si="1278"/>
        <v>227</v>
      </c>
      <c r="AQ614" s="199">
        <f t="shared" si="1278"/>
        <v>-58</v>
      </c>
      <c r="AR614" s="199">
        <f t="shared" si="1279" ref="AR614:AW614">AR585+AR601+AR611+AR613</f>
        <v>26</v>
      </c>
      <c r="AS614" s="199">
        <f t="shared" si="1279"/>
        <v>129</v>
      </c>
      <c r="AT614" s="185">
        <f t="shared" si="1279"/>
        <v>-57</v>
      </c>
      <c r="AU614" s="1008">
        <f t="shared" si="1279"/>
        <v>40</v>
      </c>
      <c r="AV614" s="199">
        <f t="shared" si="1279"/>
        <v>-9</v>
      </c>
      <c r="AW614" s="199">
        <f t="shared" si="1279"/>
        <v>-42</v>
      </c>
      <c r="AX614" s="199">
        <f t="shared" si="1280" ref="AX614:BJ614">AX585+AX601+AX611+AX613</f>
        <v>63</v>
      </c>
      <c r="AY614" s="185">
        <f t="shared" si="1280"/>
        <v>26</v>
      </c>
      <c r="AZ614" s="1008">
        <f t="shared" si="1280"/>
        <v>38</v>
      </c>
      <c r="BA614" s="199">
        <f t="shared" si="1281" ref="BA614:BI614">BA585+BA601+BA611+BA613</f>
        <v>-32</v>
      </c>
      <c r="BB614" s="199">
        <f t="shared" si="1281"/>
        <v>-162</v>
      </c>
      <c r="BC614" s="199">
        <f t="shared" si="1281"/>
        <v>-12</v>
      </c>
      <c r="BD614" s="185">
        <f t="shared" si="1281"/>
        <v>57</v>
      </c>
      <c r="BE614" s="1008">
        <f t="shared" si="1281"/>
        <v>-149</v>
      </c>
      <c r="BF614" s="199">
        <f>BF585+BF601+BF611+BF613</f>
        <v>17</v>
      </c>
      <c r="BG614" s="199">
        <f>BG585+BG601+BG611+BG613</f>
        <v>62</v>
      </c>
      <c r="BH614" s="554">
        <f>BH585+BH601+BH611+BH613</f>
        <v>43</v>
      </c>
      <c r="BI614" s="199">
        <f t="shared" ca="1" si="1281"/>
        <v>7081.6370220785702</v>
      </c>
      <c r="BJ614" s="1009">
        <f t="shared" ca="1" si="1280"/>
        <v>7203.6370220785702</v>
      </c>
      <c r="BK614" s="199">
        <f ca="1" t="shared" si="1282" ref="BK614:BR614">BK585+BK601+BK611+BK613</f>
        <v>8724.3281152569707</v>
      </c>
      <c r="BL614" s="199">
        <f t="shared" ca="1" si="1282"/>
        <v>-5151.7599473543669</v>
      </c>
      <c r="BM614" s="199">
        <f t="shared" ca="1" si="1282"/>
        <v>-3935.8533487476961</v>
      </c>
      <c r="BN614" s="199">
        <f t="shared" ca="1" si="1282"/>
        <v>7292.3009690534345</v>
      </c>
      <c r="BO614" s="1009">
        <f t="shared" ca="1" si="1282"/>
        <v>6929.0157882083404</v>
      </c>
      <c r="BP614" s="1009">
        <f t="shared" ca="1" si="1282"/>
        <v>8878.2927357584103</v>
      </c>
      <c r="BQ614" s="1009">
        <f t="shared" ca="1" si="1282"/>
        <v>9080.1351309293423</v>
      </c>
      <c r="BR614" s="1009">
        <f t="shared" ca="1" si="1282"/>
        <v>9174.2606433356432</v>
      </c>
      <c r="BS614" s="271"/>
    </row>
    <row r="615" spans="1:71" s="65" customFormat="1" ht="15">
      <c r="A615" s="453"/>
      <c r="B615" s="480"/>
      <c r="C615" s="1009"/>
      <c r="D615" s="1009"/>
      <c r="E615" s="1009"/>
      <c r="F615" s="1009"/>
      <c r="G615" s="1009"/>
      <c r="H615" s="199"/>
      <c r="I615" s="199"/>
      <c r="J615" s="199"/>
      <c r="K615" s="199"/>
      <c r="L615" s="1009"/>
      <c r="M615" s="199"/>
      <c r="N615" s="199"/>
      <c r="O615" s="199"/>
      <c r="P615" s="199"/>
      <c r="Q615" s="1009"/>
      <c r="R615" s="199"/>
      <c r="S615" s="199"/>
      <c r="T615" s="199"/>
      <c r="U615" s="199"/>
      <c r="V615" s="1009"/>
      <c r="W615" s="199"/>
      <c r="X615" s="199"/>
      <c r="Y615" s="199"/>
      <c r="Z615" s="199"/>
      <c r="AA615" s="1009"/>
      <c r="AB615" s="199"/>
      <c r="AC615" s="199"/>
      <c r="AD615" s="199"/>
      <c r="AE615" s="199"/>
      <c r="AF615" s="1009"/>
      <c r="AG615" s="199"/>
      <c r="AH615" s="199"/>
      <c r="AI615" s="199"/>
      <c r="AJ615" s="199"/>
      <c r="AK615" s="1009"/>
      <c r="AL615" s="199"/>
      <c r="AM615" s="199"/>
      <c r="AN615" s="199"/>
      <c r="AO615" s="199"/>
      <c r="AP615" s="1009"/>
      <c r="AQ615" s="199"/>
      <c r="AR615" s="199"/>
      <c r="AS615" s="199"/>
      <c r="AT615" s="199"/>
      <c r="AU615" s="1009"/>
      <c r="AV615" s="199"/>
      <c r="AW615" s="199"/>
      <c r="AX615" s="199"/>
      <c r="AY615" s="199"/>
      <c r="AZ615" s="1009"/>
      <c r="BA615" s="199"/>
      <c r="BB615" s="199"/>
      <c r="BC615" s="199"/>
      <c r="BD615" s="199"/>
      <c r="BE615" s="1009"/>
      <c r="BF615" s="199"/>
      <c r="BG615" s="199"/>
      <c r="BH615" s="554"/>
      <c r="BI615" s="199"/>
      <c r="BJ615" s="1009"/>
      <c r="BK615" s="199"/>
      <c r="BL615" s="199"/>
      <c r="BM615" s="199"/>
      <c r="BN615" s="199"/>
      <c r="BO615" s="1009"/>
      <c r="BP615" s="1009"/>
      <c r="BQ615" s="1009"/>
      <c r="BR615" s="1009"/>
      <c r="BS615" s="271"/>
    </row>
    <row r="616" spans="1:71" s="65" customFormat="1" ht="15">
      <c r="A616" s="67" t="str">
        <f>A563</f>
        <v>Beginning Cash Balance</v>
      </c>
      <c r="B616" s="480"/>
      <c r="C616" s="1009">
        <f>C563</f>
        <v>350</v>
      </c>
      <c r="D616" s="1009">
        <f t="shared" si="1283" ref="D616:K616">C617</f>
        <v>255</v>
      </c>
      <c r="E616" s="1009">
        <f t="shared" si="1283"/>
        <v>200</v>
      </c>
      <c r="F616" s="1009">
        <f t="shared" si="1283"/>
        <v>214</v>
      </c>
      <c r="G616" s="1009">
        <f t="shared" si="1283"/>
        <v>330</v>
      </c>
      <c r="H616" s="199">
        <f t="shared" si="1283"/>
        <v>294</v>
      </c>
      <c r="I616" s="199">
        <f t="shared" si="1283"/>
        <v>260</v>
      </c>
      <c r="J616" s="199">
        <f t="shared" si="1283"/>
        <v>311</v>
      </c>
      <c r="K616" s="199">
        <f t="shared" si="1283"/>
        <v>367</v>
      </c>
      <c r="L616" s="1009">
        <f>G617</f>
        <v>294</v>
      </c>
      <c r="M616" s="199">
        <f>L617</f>
        <v>374</v>
      </c>
      <c r="N616" s="199">
        <f>M617</f>
        <v>308</v>
      </c>
      <c r="O616" s="199">
        <f>N617</f>
        <v>317</v>
      </c>
      <c r="P616" s="199">
        <f>O617</f>
        <v>344</v>
      </c>
      <c r="Q616" s="1009">
        <f>L617</f>
        <v>374</v>
      </c>
      <c r="R616" s="199">
        <f>Q617</f>
        <v>380</v>
      </c>
      <c r="S616" s="199">
        <f>R617</f>
        <v>361</v>
      </c>
      <c r="T616" s="199">
        <f>S617</f>
        <v>265</v>
      </c>
      <c r="U616" s="199">
        <f>T617</f>
        <v>269</v>
      </c>
      <c r="V616" s="1009">
        <f>Q617</f>
        <v>380</v>
      </c>
      <c r="W616" s="199">
        <f>V617</f>
        <v>307</v>
      </c>
      <c r="X616" s="199">
        <f>W617</f>
        <v>249</v>
      </c>
      <c r="Y616" s="199">
        <f>X617</f>
        <v>328</v>
      </c>
      <c r="Z616" s="185">
        <f>Y617</f>
        <v>379</v>
      </c>
      <c r="AA616" s="1008">
        <f>V617</f>
        <v>307</v>
      </c>
      <c r="AB616" s="199">
        <f>AA617</f>
        <v>344</v>
      </c>
      <c r="AC616" s="199">
        <f>AB617</f>
        <v>397</v>
      </c>
      <c r="AD616" s="199">
        <f>AC617</f>
        <v>415</v>
      </c>
      <c r="AE616" s="185">
        <f>AD617</f>
        <v>359</v>
      </c>
      <c r="AF616" s="1008">
        <f>AA617</f>
        <v>344</v>
      </c>
      <c r="AG616" s="199">
        <f>AF617</f>
        <v>373</v>
      </c>
      <c r="AH616" s="199">
        <f>AG617</f>
        <v>357</v>
      </c>
      <c r="AI616" s="199">
        <f>AH617</f>
        <v>416</v>
      </c>
      <c r="AJ616" s="185">
        <f>AI617</f>
        <v>508</v>
      </c>
      <c r="AK616" s="1008">
        <f>AF617</f>
        <v>373</v>
      </c>
      <c r="AL616" s="199">
        <f>AK617</f>
        <v>494</v>
      </c>
      <c r="AM616" s="199">
        <f>AL617</f>
        <v>544</v>
      </c>
      <c r="AN616" s="199">
        <f>AM617</f>
        <v>623</v>
      </c>
      <c r="AO616" s="185">
        <f>AN617</f>
        <v>583</v>
      </c>
      <c r="AP616" s="1008">
        <f>AK617</f>
        <v>494</v>
      </c>
      <c r="AQ616" s="199">
        <f>AP617</f>
        <v>721</v>
      </c>
      <c r="AR616" s="199">
        <f>AQ617</f>
        <v>663</v>
      </c>
      <c r="AS616" s="199">
        <f>AR617</f>
        <v>689</v>
      </c>
      <c r="AT616" s="185">
        <f>AS617</f>
        <v>818</v>
      </c>
      <c r="AU616" s="1008">
        <f>AP617</f>
        <v>721</v>
      </c>
      <c r="AV616" s="199">
        <f>AU617</f>
        <v>761</v>
      </c>
      <c r="AW616" s="199">
        <f>AV617</f>
        <v>752</v>
      </c>
      <c r="AX616" s="199">
        <f>AW617</f>
        <v>710</v>
      </c>
      <c r="AY616" s="185">
        <f>AX617</f>
        <v>773</v>
      </c>
      <c r="AZ616" s="1008">
        <f>AU617</f>
        <v>761</v>
      </c>
      <c r="BA616" s="199">
        <f>AZ617</f>
        <v>799</v>
      </c>
      <c r="BB616" s="199">
        <f>BA617</f>
        <v>767</v>
      </c>
      <c r="BC616" s="199">
        <f>BB617</f>
        <v>605</v>
      </c>
      <c r="BD616" s="185">
        <f>BC617</f>
        <v>593</v>
      </c>
      <c r="BE616" s="1008">
        <f>AZ617</f>
        <v>799</v>
      </c>
      <c r="BF616" s="199">
        <f>BE617</f>
        <v>650</v>
      </c>
      <c r="BG616" s="199">
        <f>BF617</f>
        <v>667</v>
      </c>
      <c r="BH616" s="554">
        <f>BG617</f>
        <v>729</v>
      </c>
      <c r="BI616" s="199">
        <f>BH617</f>
        <v>772</v>
      </c>
      <c r="BJ616" s="1009">
        <f>BE617</f>
        <v>650</v>
      </c>
      <c r="BK616" s="199">
        <f ca="1">BJ617</f>
        <v>7853.6370220785702</v>
      </c>
      <c r="BL616" s="199">
        <f ca="1">BK617</f>
        <v>16577.965137335541</v>
      </c>
      <c r="BM616" s="199">
        <f ca="1">BL617</f>
        <v>11426.205189981174</v>
      </c>
      <c r="BN616" s="199">
        <f ca="1">BM617</f>
        <v>7490.3518412334779</v>
      </c>
      <c r="BO616" s="1009">
        <f ca="1">BJ617</f>
        <v>7853.6370220785702</v>
      </c>
      <c r="BP616" s="1009">
        <f ca="1">BO617</f>
        <v>14782.652810286911</v>
      </c>
      <c r="BQ616" s="1009">
        <f ca="1">BP617</f>
        <v>23660.945546045321</v>
      </c>
      <c r="BR616" s="1009">
        <f ca="1">BQ617</f>
        <v>32741.080676974663</v>
      </c>
      <c r="BS616" s="271"/>
    </row>
    <row r="617" spans="1:71" s="65" customFormat="1" ht="15">
      <c r="A617" s="67" t="str">
        <f>A564</f>
        <v>Ending Cash Balance</v>
      </c>
      <c r="B617" s="480"/>
      <c r="C617" s="1009">
        <f t="shared" si="1284" ref="C617:AM617">C616+C614</f>
        <v>255</v>
      </c>
      <c r="D617" s="1009">
        <f t="shared" si="1284"/>
        <v>200</v>
      </c>
      <c r="E617" s="1009">
        <f t="shared" si="1284"/>
        <v>214</v>
      </c>
      <c r="F617" s="1009">
        <f t="shared" si="1284"/>
        <v>330</v>
      </c>
      <c r="G617" s="1009">
        <f t="shared" si="1284"/>
        <v>294</v>
      </c>
      <c r="H617" s="199">
        <f t="shared" si="1284"/>
        <v>260</v>
      </c>
      <c r="I617" s="199">
        <f t="shared" si="1284"/>
        <v>311</v>
      </c>
      <c r="J617" s="199">
        <f t="shared" si="1284"/>
        <v>367</v>
      </c>
      <c r="K617" s="199">
        <f t="shared" si="1284"/>
        <v>374</v>
      </c>
      <c r="L617" s="1009">
        <f t="shared" si="1284"/>
        <v>374</v>
      </c>
      <c r="M617" s="199">
        <f t="shared" si="1284"/>
        <v>308</v>
      </c>
      <c r="N617" s="199">
        <f t="shared" si="1284"/>
        <v>317</v>
      </c>
      <c r="O617" s="199">
        <f t="shared" si="1284"/>
        <v>344</v>
      </c>
      <c r="P617" s="199">
        <f t="shared" si="1284"/>
        <v>380</v>
      </c>
      <c r="Q617" s="1009">
        <f t="shared" si="1284"/>
        <v>380</v>
      </c>
      <c r="R617" s="199">
        <f t="shared" si="1284"/>
        <v>361</v>
      </c>
      <c r="S617" s="199">
        <f t="shared" si="1284"/>
        <v>265</v>
      </c>
      <c r="T617" s="199">
        <f t="shared" si="1284"/>
        <v>269</v>
      </c>
      <c r="U617" s="199">
        <f t="shared" si="1284"/>
        <v>307</v>
      </c>
      <c r="V617" s="1009">
        <f t="shared" si="1284"/>
        <v>307</v>
      </c>
      <c r="W617" s="199">
        <f t="shared" si="1284"/>
        <v>249</v>
      </c>
      <c r="X617" s="199">
        <f t="shared" si="1284"/>
        <v>328</v>
      </c>
      <c r="Y617" s="199">
        <f t="shared" si="1284"/>
        <v>379</v>
      </c>
      <c r="Z617" s="199">
        <f t="shared" si="1284"/>
        <v>344</v>
      </c>
      <c r="AA617" s="1009">
        <f t="shared" si="1284"/>
        <v>344</v>
      </c>
      <c r="AB617" s="199">
        <f t="shared" si="1284"/>
        <v>397</v>
      </c>
      <c r="AC617" s="199">
        <f t="shared" si="1284"/>
        <v>415</v>
      </c>
      <c r="AD617" s="199">
        <f t="shared" si="1284"/>
        <v>359</v>
      </c>
      <c r="AE617" s="199">
        <f t="shared" si="1284"/>
        <v>373</v>
      </c>
      <c r="AF617" s="1009">
        <f t="shared" si="1284"/>
        <v>373</v>
      </c>
      <c r="AG617" s="199">
        <f t="shared" si="1284"/>
        <v>357</v>
      </c>
      <c r="AH617" s="199">
        <f t="shared" si="1284"/>
        <v>416</v>
      </c>
      <c r="AI617" s="199">
        <f t="shared" si="1284"/>
        <v>508</v>
      </c>
      <c r="AJ617" s="199">
        <f t="shared" si="1284"/>
        <v>494</v>
      </c>
      <c r="AK617" s="1009">
        <f t="shared" si="1284"/>
        <v>494</v>
      </c>
      <c r="AL617" s="199">
        <f t="shared" si="1284"/>
        <v>544</v>
      </c>
      <c r="AM617" s="199">
        <f t="shared" si="1284"/>
        <v>623</v>
      </c>
      <c r="AN617" s="199">
        <f>AN616+AN614</f>
        <v>583</v>
      </c>
      <c r="AO617" s="185">
        <f t="shared" si="1285" ref="AO617:AQ617">AO616+AO614</f>
        <v>721</v>
      </c>
      <c r="AP617" s="1008">
        <f t="shared" si="1285"/>
        <v>721</v>
      </c>
      <c r="AQ617" s="199">
        <f t="shared" si="1285"/>
        <v>663</v>
      </c>
      <c r="AR617" s="199">
        <f t="shared" si="1286" ref="AR617:AW617">AR616+AR614</f>
        <v>689</v>
      </c>
      <c r="AS617" s="199">
        <f t="shared" si="1286"/>
        <v>818</v>
      </c>
      <c r="AT617" s="185">
        <f t="shared" si="1286"/>
        <v>761</v>
      </c>
      <c r="AU617" s="1008">
        <f t="shared" si="1286"/>
        <v>761</v>
      </c>
      <c r="AV617" s="199">
        <f t="shared" si="1286"/>
        <v>752</v>
      </c>
      <c r="AW617" s="199">
        <f t="shared" si="1286"/>
        <v>710</v>
      </c>
      <c r="AX617" s="199">
        <f t="shared" si="1287" ref="AX617:BJ617">AX616+AX614</f>
        <v>773</v>
      </c>
      <c r="AY617" s="185">
        <f t="shared" si="1287"/>
        <v>799</v>
      </c>
      <c r="AZ617" s="1008">
        <f t="shared" si="1287"/>
        <v>799</v>
      </c>
      <c r="BA617" s="199">
        <f t="shared" si="1288" ref="BA617:BI617">BA616+BA614</f>
        <v>767</v>
      </c>
      <c r="BB617" s="199">
        <f t="shared" si="1288"/>
        <v>605</v>
      </c>
      <c r="BC617" s="199">
        <f t="shared" si="1288"/>
        <v>593</v>
      </c>
      <c r="BD617" s="185">
        <f t="shared" si="1288"/>
        <v>650</v>
      </c>
      <c r="BE617" s="1008">
        <f t="shared" si="1288"/>
        <v>650</v>
      </c>
      <c r="BF617" s="199">
        <f>BF616+BF614</f>
        <v>667</v>
      </c>
      <c r="BG617" s="199">
        <f>BG616+BG614</f>
        <v>729</v>
      </c>
      <c r="BH617" s="554">
        <f>BH616+BH614</f>
        <v>772</v>
      </c>
      <c r="BI617" s="199">
        <f t="shared" ca="1" si="1288"/>
        <v>7853.6370220785702</v>
      </c>
      <c r="BJ617" s="1009">
        <f t="shared" ca="1" si="1287"/>
        <v>7853.6370220785702</v>
      </c>
      <c r="BK617" s="199">
        <f ca="1" t="shared" si="1289" ref="BK617:BR617">BK616+BK614</f>
        <v>16577.965137335541</v>
      </c>
      <c r="BL617" s="199">
        <f t="shared" ca="1" si="1289"/>
        <v>11426.205189981174</v>
      </c>
      <c r="BM617" s="199">
        <f t="shared" ca="1" si="1289"/>
        <v>7490.3518412334779</v>
      </c>
      <c r="BN617" s="199">
        <f t="shared" ca="1" si="1289"/>
        <v>14782.652810286912</v>
      </c>
      <c r="BO617" s="1009">
        <f t="shared" ca="1" si="1289"/>
        <v>14782.652810286911</v>
      </c>
      <c r="BP617" s="1009">
        <f t="shared" ca="1" si="1289"/>
        <v>23660.945546045321</v>
      </c>
      <c r="BQ617" s="1009">
        <f t="shared" ca="1" si="1289"/>
        <v>32741.080676974663</v>
      </c>
      <c r="BR617" s="1009">
        <f t="shared" ca="1" si="1289"/>
        <v>41915.341320310305</v>
      </c>
      <c r="BS617" s="271"/>
    </row>
    <row r="618" spans="1:71" s="65" customFormat="1" ht="15">
      <c r="A618" s="453"/>
      <c r="B618" s="480"/>
      <c r="C618" s="1009"/>
      <c r="D618" s="1009"/>
      <c r="E618" s="1009"/>
      <c r="F618" s="1009"/>
      <c r="G618" s="1009"/>
      <c r="H618" s="199"/>
      <c r="I618" s="199"/>
      <c r="J618" s="199"/>
      <c r="K618" s="199"/>
      <c r="L618" s="1009"/>
      <c r="M618" s="199"/>
      <c r="N618" s="199"/>
      <c r="O618" s="199"/>
      <c r="P618" s="199"/>
      <c r="Q618" s="1009"/>
      <c r="R618" s="199"/>
      <c r="S618" s="199"/>
      <c r="T618" s="199"/>
      <c r="U618" s="199"/>
      <c r="V618" s="1009"/>
      <c r="W618" s="199"/>
      <c r="X618" s="199"/>
      <c r="Y618" s="199"/>
      <c r="Z618" s="199"/>
      <c r="AA618" s="1009"/>
      <c r="AB618" s="199"/>
      <c r="AC618" s="199"/>
      <c r="AD618" s="199"/>
      <c r="AE618" s="199"/>
      <c r="AF618" s="1009"/>
      <c r="AG618" s="199"/>
      <c r="AH618" s="199"/>
      <c r="AI618" s="199"/>
      <c r="AJ618" s="199"/>
      <c r="AK618" s="1009"/>
      <c r="AL618" s="199"/>
      <c r="AM618" s="199"/>
      <c r="AN618" s="199"/>
      <c r="AO618" s="199"/>
      <c r="AP618" s="1009"/>
      <c r="AQ618" s="199"/>
      <c r="AR618" s="199"/>
      <c r="AS618" s="199"/>
      <c r="AT618" s="199"/>
      <c r="AU618" s="1009"/>
      <c r="AV618" s="199"/>
      <c r="AW618" s="199"/>
      <c r="AX618" s="199"/>
      <c r="AY618" s="199"/>
      <c r="AZ618" s="1009"/>
      <c r="BA618" s="199"/>
      <c r="BB618" s="199"/>
      <c r="BC618" s="199"/>
      <c r="BD618" s="199"/>
      <c r="BE618" s="1009"/>
      <c r="BF618" s="199"/>
      <c r="BG618" s="199"/>
      <c r="BH618" s="554"/>
      <c r="BI618" s="199"/>
      <c r="BJ618" s="1009"/>
      <c r="BK618" s="199"/>
      <c r="BL618" s="199"/>
      <c r="BM618" s="199"/>
      <c r="BN618" s="199"/>
      <c r="BO618" s="1009"/>
      <c r="BP618" s="1009"/>
      <c r="BQ618" s="1009"/>
      <c r="BR618" s="1009"/>
      <c r="BS618" s="271"/>
    </row>
    <row r="619" spans="1:71" s="61" customFormat="1" ht="15">
      <c r="A619" s="68" t="str">
        <f>A566</f>
        <v>Cash paid for interest</v>
      </c>
      <c r="B619" s="462"/>
      <c r="C619" s="994">
        <f t="shared" si="1290" ref="C619:H620">C566</f>
        <v>385</v>
      </c>
      <c r="D619" s="994">
        <f t="shared" si="1290"/>
        <v>397</v>
      </c>
      <c r="E619" s="994">
        <f t="shared" si="1290"/>
        <v>382</v>
      </c>
      <c r="F619" s="994">
        <f t="shared" si="1290"/>
        <v>375</v>
      </c>
      <c r="G619" s="994">
        <f t="shared" si="1290"/>
        <v>355</v>
      </c>
      <c r="H619" s="210">
        <f t="shared" si="1290"/>
        <v>34</v>
      </c>
      <c r="I619" s="210">
        <f t="shared" si="1291" ref="I619:K620">I566-H566</f>
        <v>149</v>
      </c>
      <c r="J619" s="210">
        <f t="shared" si="1291"/>
        <v>34</v>
      </c>
      <c r="K619" s="210">
        <f t="shared" si="1291"/>
        <v>148</v>
      </c>
      <c r="L619" s="994">
        <f>L566</f>
        <v>365</v>
      </c>
      <c r="M619" s="210">
        <f>M566</f>
        <v>34</v>
      </c>
      <c r="N619" s="210">
        <f t="shared" si="1292" ref="N619:P620">N566-M566</f>
        <v>149</v>
      </c>
      <c r="O619" s="210">
        <f t="shared" si="1292"/>
        <v>34</v>
      </c>
      <c r="P619" s="210">
        <f t="shared" si="1292"/>
        <v>148</v>
      </c>
      <c r="Q619" s="994">
        <f>Q566</f>
        <v>365</v>
      </c>
      <c r="R619" s="210">
        <f>R566</f>
        <v>42</v>
      </c>
      <c r="S619" s="210">
        <f t="shared" si="1293" ref="S619:U620">S566-R566</f>
        <v>138</v>
      </c>
      <c r="T619" s="210">
        <f t="shared" si="1293"/>
        <v>43</v>
      </c>
      <c r="U619" s="210">
        <f t="shared" si="1293"/>
        <v>135</v>
      </c>
      <c r="V619" s="994">
        <f>V566</f>
        <v>358</v>
      </c>
      <c r="W619" s="210">
        <f>W566</f>
        <v>43</v>
      </c>
      <c r="X619" s="210">
        <f t="shared" si="1294" ref="X619:Z620">X566-W566</f>
        <v>135</v>
      </c>
      <c r="Y619" s="210">
        <f t="shared" si="1294"/>
        <v>39</v>
      </c>
      <c r="Z619" s="210">
        <f t="shared" si="1294"/>
        <v>150</v>
      </c>
      <c r="AA619" s="994">
        <f>AA566</f>
        <v>367</v>
      </c>
      <c r="AB619" s="210">
        <f>AB566</f>
        <v>39</v>
      </c>
      <c r="AC619" s="210">
        <f t="shared" si="1295" ref="AC619:AE620">AC566-AB566</f>
        <v>136</v>
      </c>
      <c r="AD619" s="210">
        <f t="shared" si="1295"/>
        <v>50</v>
      </c>
      <c r="AE619" s="210">
        <f t="shared" si="1295"/>
        <v>122</v>
      </c>
      <c r="AF619" s="994">
        <f>AF566</f>
        <v>347</v>
      </c>
      <c r="AG619" s="210">
        <f>AG566</f>
        <v>50</v>
      </c>
      <c r="AH619" s="210">
        <f t="shared" si="1296" ref="AH619:AJ620">AH566-AG566</f>
        <v>121</v>
      </c>
      <c r="AI619" s="210">
        <f t="shared" si="1296"/>
        <v>60</v>
      </c>
      <c r="AJ619" s="210">
        <f t="shared" si="1296"/>
        <v>107</v>
      </c>
      <c r="AK619" s="994">
        <f>AK566</f>
        <v>338</v>
      </c>
      <c r="AL619" s="210">
        <f>AL566</f>
        <v>60</v>
      </c>
      <c r="AM619" s="210">
        <f t="shared" si="1297" ref="AM619:AO620">AM566-AL566</f>
        <v>106</v>
      </c>
      <c r="AN619" s="210">
        <f t="shared" si="1297"/>
        <v>60</v>
      </c>
      <c r="AO619" s="265">
        <f t="shared" si="1297"/>
        <v>113</v>
      </c>
      <c r="AP619" s="993">
        <f>AP566</f>
        <v>339</v>
      </c>
      <c r="AQ619" s="210">
        <f>AQ566</f>
        <v>59</v>
      </c>
      <c r="AR619" s="210">
        <f t="shared" si="1298" ref="AR619:AT620">AR566-AQ566</f>
        <v>104</v>
      </c>
      <c r="AS619" s="210">
        <f t="shared" si="1298"/>
        <v>59</v>
      </c>
      <c r="AT619" s="265">
        <f t="shared" si="1298"/>
        <v>115</v>
      </c>
      <c r="AU619" s="993">
        <f>AU566</f>
        <v>337</v>
      </c>
      <c r="AV619" s="210">
        <f>AV566</f>
        <v>59</v>
      </c>
      <c r="AW619" s="210">
        <f t="shared" si="1299" ref="AW619:AY620">AW566-AV566</f>
        <v>115</v>
      </c>
      <c r="AX619" s="210">
        <f t="shared" si="1299"/>
        <v>60</v>
      </c>
      <c r="AY619" s="265">
        <f t="shared" si="1299"/>
        <v>115</v>
      </c>
      <c r="AZ619" s="993">
        <f>AZ566</f>
        <v>349</v>
      </c>
      <c r="BA619" s="210">
        <f>BA566</f>
        <v>60</v>
      </c>
      <c r="BB619" s="210">
        <f t="shared" si="1300" ref="BB619:BD620">BB566-BA566</f>
        <v>115</v>
      </c>
      <c r="BC619" s="210">
        <f t="shared" si="1300"/>
        <v>59</v>
      </c>
      <c r="BD619" s="265">
        <f t="shared" si="1300"/>
        <v>136</v>
      </c>
      <c r="BE619" s="993">
        <f>BE566</f>
        <v>370</v>
      </c>
      <c r="BF619" s="210">
        <f>BF566</f>
        <v>60</v>
      </c>
      <c r="BG619" s="210">
        <f>BG566-BF566</f>
        <v>135</v>
      </c>
      <c r="BH619" s="553">
        <f>BH566-BG566</f>
        <v>60</v>
      </c>
      <c r="BI619" s="210"/>
      <c r="BJ619" s="994"/>
      <c r="BK619" s="210"/>
      <c r="BL619" s="210"/>
      <c r="BM619" s="210"/>
      <c r="BN619" s="210"/>
      <c r="BO619" s="994"/>
      <c r="BP619" s="994"/>
      <c r="BQ619" s="994"/>
      <c r="BR619" s="994"/>
      <c r="BS619" s="272"/>
    </row>
    <row r="620" spans="1:71" s="61" customFormat="1" ht="15">
      <c r="A620" s="68" t="str">
        <f>A567</f>
        <v>Cash paid for income taxes</v>
      </c>
      <c r="B620" s="462"/>
      <c r="C620" s="994">
        <f t="shared" si="1290"/>
        <v>876</v>
      </c>
      <c r="D620" s="994">
        <f t="shared" si="1290"/>
        <v>784</v>
      </c>
      <c r="E620" s="994">
        <f t="shared" si="1290"/>
        <v>218</v>
      </c>
      <c r="F620" s="994">
        <f t="shared" si="1290"/>
        <v>188</v>
      </c>
      <c r="G620" s="994">
        <f t="shared" si="1290"/>
        <v>1057</v>
      </c>
      <c r="H620" s="210">
        <f t="shared" si="1290"/>
        <v>93</v>
      </c>
      <c r="I620" s="210">
        <f t="shared" si="1291"/>
        <v>634</v>
      </c>
      <c r="J620" s="210">
        <f t="shared" si="1291"/>
        <v>58</v>
      </c>
      <c r="K620" s="210">
        <f t="shared" si="1291"/>
        <v>362</v>
      </c>
      <c r="L620" s="994">
        <f>L567</f>
        <v>1147</v>
      </c>
      <c r="M620" s="210">
        <f>M567</f>
        <v>126</v>
      </c>
      <c r="N620" s="210">
        <f t="shared" si="1292"/>
        <v>471</v>
      </c>
      <c r="O620" s="210">
        <f t="shared" si="1292"/>
        <v>285</v>
      </c>
      <c r="P620" s="210">
        <f t="shared" si="1292"/>
        <v>325</v>
      </c>
      <c r="Q620" s="994">
        <f>Q567</f>
        <v>1207</v>
      </c>
      <c r="R620" s="210">
        <f>R567</f>
        <v>63</v>
      </c>
      <c r="S620" s="210">
        <f t="shared" si="1293"/>
        <v>404</v>
      </c>
      <c r="T620" s="210">
        <f t="shared" si="1293"/>
        <v>181</v>
      </c>
      <c r="U620" s="210">
        <f t="shared" si="1293"/>
        <v>244</v>
      </c>
      <c r="V620" s="994">
        <f>V567</f>
        <v>892</v>
      </c>
      <c r="W620" s="210">
        <f>W567</f>
        <v>2</v>
      </c>
      <c r="X620" s="210">
        <f t="shared" si="1294"/>
        <v>321</v>
      </c>
      <c r="Y620" s="210">
        <f t="shared" si="1294"/>
        <v>144</v>
      </c>
      <c r="Z620" s="210">
        <f t="shared" si="1294"/>
        <v>47</v>
      </c>
      <c r="AA620" s="994">
        <f>AA567</f>
        <v>514</v>
      </c>
      <c r="AB620" s="210">
        <f>AB567</f>
        <v>56</v>
      </c>
      <c r="AC620" s="210">
        <f t="shared" si="1295"/>
        <v>182</v>
      </c>
      <c r="AD620" s="210">
        <f t="shared" si="1295"/>
        <v>6</v>
      </c>
      <c r="AE620" s="210">
        <f t="shared" si="1295"/>
        <v>164</v>
      </c>
      <c r="AF620" s="994">
        <f>AF567</f>
        <v>408</v>
      </c>
      <c r="AG620" s="210">
        <f>AG567</f>
        <v>5</v>
      </c>
      <c r="AH620" s="210">
        <f t="shared" si="1296"/>
        <v>320</v>
      </c>
      <c r="AI620" s="210">
        <f t="shared" si="1296"/>
        <v>42</v>
      </c>
      <c r="AJ620" s="210">
        <f t="shared" si="1296"/>
        <v>61</v>
      </c>
      <c r="AK620" s="994">
        <f>AK567</f>
        <v>428</v>
      </c>
      <c r="AL620" s="210">
        <f>AL567</f>
        <v>15</v>
      </c>
      <c r="AM620" s="210">
        <f t="shared" si="1297"/>
        <v>2</v>
      </c>
      <c r="AN620" s="210">
        <f t="shared" si="1297"/>
        <v>396</v>
      </c>
      <c r="AO620" s="265">
        <f t="shared" si="1297"/>
        <v>165</v>
      </c>
      <c r="AP620" s="993">
        <f>AP567</f>
        <v>578</v>
      </c>
      <c r="AQ620" s="210">
        <f>AQ567</f>
        <v>58</v>
      </c>
      <c r="AR620" s="210">
        <f t="shared" si="1298"/>
        <v>284</v>
      </c>
      <c r="AS620" s="210">
        <f t="shared" si="1298"/>
        <v>201</v>
      </c>
      <c r="AT620" s="265">
        <f t="shared" si="1298"/>
        <v>164</v>
      </c>
      <c r="AU620" s="993">
        <f>AU567</f>
        <v>707</v>
      </c>
      <c r="AV620" s="210">
        <f>AV567</f>
        <v>10</v>
      </c>
      <c r="AW620" s="210">
        <f t="shared" si="1299"/>
        <v>542</v>
      </c>
      <c r="AX620" s="210">
        <f t="shared" si="1299"/>
        <v>111</v>
      </c>
      <c r="AY620" s="265">
        <f t="shared" si="1299"/>
        <v>154</v>
      </c>
      <c r="AZ620" s="993">
        <f>AZ567</f>
        <v>817</v>
      </c>
      <c r="BA620" s="210">
        <f>BA567</f>
        <v>-16</v>
      </c>
      <c r="BB620" s="210">
        <f t="shared" si="1300"/>
        <v>155</v>
      </c>
      <c r="BC620" s="210">
        <f t="shared" si="1300"/>
        <v>13</v>
      </c>
      <c r="BD620" s="265">
        <f t="shared" si="1300"/>
        <v>49</v>
      </c>
      <c r="BE620" s="993">
        <f>BE567</f>
        <v>201</v>
      </c>
      <c r="BF620" s="210">
        <f>BF567</f>
        <v>24</v>
      </c>
      <c r="BG620" s="210">
        <f>BG567-BF567</f>
        <v>831</v>
      </c>
      <c r="BH620" s="553">
        <f>BH567-BG567</f>
        <v>92</v>
      </c>
      <c r="BI620" s="210"/>
      <c r="BJ620" s="994"/>
      <c r="BK620" s="210"/>
      <c r="BL620" s="210"/>
      <c r="BM620" s="210"/>
      <c r="BN620" s="210"/>
      <c r="BO620" s="994"/>
      <c r="BP620" s="994"/>
      <c r="BQ620" s="994"/>
      <c r="BR620" s="994"/>
      <c r="BS620" s="272"/>
    </row>
    <row r="621" spans="1:71" s="181" customFormat="1" ht="15">
      <c r="A621" s="453"/>
      <c r="B621" s="480"/>
      <c r="C621" s="1009"/>
      <c r="D621" s="1009"/>
      <c r="E621" s="1009"/>
      <c r="F621" s="1009"/>
      <c r="G621" s="1009"/>
      <c r="H621" s="199"/>
      <c r="I621" s="199"/>
      <c r="J621" s="199"/>
      <c r="K621" s="199"/>
      <c r="L621" s="1009"/>
      <c r="M621" s="199"/>
      <c r="N621" s="199"/>
      <c r="O621" s="199"/>
      <c r="P621" s="199"/>
      <c r="Q621" s="1009"/>
      <c r="R621" s="199"/>
      <c r="S621" s="199"/>
      <c r="T621" s="199"/>
      <c r="U621" s="199"/>
      <c r="V621" s="1009"/>
      <c r="W621" s="199"/>
      <c r="X621" s="199"/>
      <c r="Y621" s="199"/>
      <c r="Z621" s="199"/>
      <c r="AA621" s="1009"/>
      <c r="AB621" s="199"/>
      <c r="AC621" s="199"/>
      <c r="AD621" s="199"/>
      <c r="AE621" s="199"/>
      <c r="AF621" s="1009"/>
      <c r="AG621" s="199"/>
      <c r="AH621" s="199"/>
      <c r="AI621" s="199"/>
      <c r="AJ621" s="199"/>
      <c r="AK621" s="1009"/>
      <c r="AL621" s="199"/>
      <c r="AM621" s="199"/>
      <c r="AN621" s="199"/>
      <c r="AO621" s="199"/>
      <c r="AP621" s="1009"/>
      <c r="AQ621" s="199"/>
      <c r="AR621" s="199"/>
      <c r="AS621" s="199"/>
      <c r="AT621" s="199"/>
      <c r="AU621" s="1009"/>
      <c r="AV621" s="199"/>
      <c r="AW621" s="199"/>
      <c r="AX621" s="199"/>
      <c r="AY621" s="199"/>
      <c r="AZ621" s="1009"/>
      <c r="BA621" s="199"/>
      <c r="BB621" s="199"/>
      <c r="BC621" s="199"/>
      <c r="BD621" s="199"/>
      <c r="BE621" s="1009"/>
      <c r="BF621" s="199"/>
      <c r="BG621" s="199"/>
      <c r="BH621" s="554"/>
      <c r="BI621" s="199"/>
      <c r="BJ621" s="1009"/>
      <c r="BK621" s="199"/>
      <c r="BL621" s="199"/>
      <c r="BM621" s="199"/>
      <c r="BN621" s="199"/>
      <c r="BO621" s="1009"/>
      <c r="BP621" s="1009"/>
      <c r="BQ621" s="1009"/>
      <c r="BR621" s="1009"/>
      <c r="BS621" s="423"/>
    </row>
    <row r="622" spans="1:71" s="24" customFormat="1" ht="15">
      <c r="A622" s="129" t="s">
        <v>230</v>
      </c>
      <c r="B622" s="129"/>
      <c r="C622" s="137">
        <f t="shared" si="1301" ref="C622:AP622">ROUND(C617-C632,6)</f>
        <v>0</v>
      </c>
      <c r="D622" s="137">
        <f t="shared" si="1301"/>
        <v>0</v>
      </c>
      <c r="E622" s="137">
        <f t="shared" si="1301"/>
        <v>0</v>
      </c>
      <c r="F622" s="137">
        <f t="shared" si="1301"/>
        <v>0</v>
      </c>
      <c r="G622" s="137">
        <f t="shared" si="1301"/>
        <v>0</v>
      </c>
      <c r="H622" s="137">
        <f t="shared" si="1301"/>
        <v>0</v>
      </c>
      <c r="I622" s="137">
        <f t="shared" si="1301"/>
        <v>0</v>
      </c>
      <c r="J622" s="137">
        <f t="shared" si="1301"/>
        <v>0</v>
      </c>
      <c r="K622" s="137">
        <f t="shared" si="1301"/>
        <v>0</v>
      </c>
      <c r="L622" s="137">
        <f t="shared" si="1301"/>
        <v>0</v>
      </c>
      <c r="M622" s="137">
        <f t="shared" si="1301"/>
        <v>0</v>
      </c>
      <c r="N622" s="137">
        <f t="shared" si="1301"/>
        <v>0</v>
      </c>
      <c r="O622" s="137">
        <f t="shared" si="1301"/>
        <v>0</v>
      </c>
      <c r="P622" s="137">
        <f t="shared" si="1301"/>
        <v>0</v>
      </c>
      <c r="Q622" s="137">
        <f t="shared" si="1301"/>
        <v>0</v>
      </c>
      <c r="R622" s="137">
        <f t="shared" si="1301"/>
        <v>0</v>
      </c>
      <c r="S622" s="137">
        <f t="shared" si="1301"/>
        <v>0</v>
      </c>
      <c r="T622" s="137">
        <f t="shared" si="1301"/>
        <v>0</v>
      </c>
      <c r="U622" s="137">
        <f t="shared" si="1301"/>
        <v>0</v>
      </c>
      <c r="V622" s="137">
        <f t="shared" si="1301"/>
        <v>0</v>
      </c>
      <c r="W622" s="137">
        <f t="shared" si="1301"/>
        <v>0</v>
      </c>
      <c r="X622" s="137">
        <f t="shared" si="1301"/>
        <v>0</v>
      </c>
      <c r="Y622" s="137">
        <f t="shared" si="1301"/>
        <v>0</v>
      </c>
      <c r="Z622" s="137">
        <f t="shared" si="1301"/>
        <v>0</v>
      </c>
      <c r="AA622" s="137">
        <f t="shared" si="1301"/>
        <v>0</v>
      </c>
      <c r="AB622" s="137">
        <f t="shared" si="1301"/>
        <v>0</v>
      </c>
      <c r="AC622" s="137">
        <f t="shared" si="1301"/>
        <v>0</v>
      </c>
      <c r="AD622" s="137">
        <f t="shared" si="1301"/>
        <v>0</v>
      </c>
      <c r="AE622" s="137">
        <f t="shared" si="1301"/>
        <v>0</v>
      </c>
      <c r="AF622" s="137">
        <f t="shared" si="1301"/>
        <v>0</v>
      </c>
      <c r="AG622" s="137">
        <f t="shared" si="1301"/>
        <v>0</v>
      </c>
      <c r="AH622" s="137">
        <f t="shared" si="1301"/>
        <v>0</v>
      </c>
      <c r="AI622" s="137">
        <f t="shared" si="1301"/>
        <v>0</v>
      </c>
      <c r="AJ622" s="137">
        <f t="shared" si="1301"/>
        <v>0</v>
      </c>
      <c r="AK622" s="137">
        <f t="shared" si="1301"/>
        <v>0</v>
      </c>
      <c r="AL622" s="137">
        <f t="shared" si="1301"/>
        <v>0</v>
      </c>
      <c r="AM622" s="137">
        <f t="shared" si="1301"/>
        <v>0</v>
      </c>
      <c r="AN622" s="137">
        <f>ROUND(AN617-AN632,6)</f>
        <v>0</v>
      </c>
      <c r="AO622" s="137">
        <f t="shared" si="1301"/>
        <v>0</v>
      </c>
      <c r="AP622" s="137">
        <f t="shared" si="1301"/>
        <v>0</v>
      </c>
      <c r="AQ622" s="137">
        <f t="shared" si="1302" ref="AQ622">ROUND(AQ617-AQ632,6)</f>
        <v>0</v>
      </c>
      <c r="AR622" s="137">
        <f t="shared" si="1303" ref="AR622:AW622">ROUND(AR617-AR632,6)</f>
        <v>0</v>
      </c>
      <c r="AS622" s="137">
        <f t="shared" si="1303"/>
        <v>0</v>
      </c>
      <c r="AT622" s="137">
        <f t="shared" si="1303"/>
        <v>0</v>
      </c>
      <c r="AU622" s="137">
        <f t="shared" si="1303"/>
        <v>0</v>
      </c>
      <c r="AV622" s="137">
        <f t="shared" si="1303"/>
        <v>0</v>
      </c>
      <c r="AW622" s="137">
        <f t="shared" si="1303"/>
        <v>0</v>
      </c>
      <c r="AX622" s="137">
        <f t="shared" si="1304" ref="AX622:BJ622">ROUND(AX617-AX632,6)</f>
        <v>0</v>
      </c>
      <c r="AY622" s="137">
        <f t="shared" si="1304"/>
        <v>0</v>
      </c>
      <c r="AZ622" s="137">
        <f t="shared" si="1304"/>
        <v>0</v>
      </c>
      <c r="BA622" s="137">
        <f t="shared" si="1305" ref="BA622:BI622">ROUND(BA617-BA632,6)</f>
        <v>0</v>
      </c>
      <c r="BB622" s="137">
        <f t="shared" si="1305"/>
        <v>0</v>
      </c>
      <c r="BC622" s="137">
        <f t="shared" si="1305"/>
        <v>0</v>
      </c>
      <c r="BD622" s="137">
        <f t="shared" si="1305"/>
        <v>0</v>
      </c>
      <c r="BE622" s="137">
        <f t="shared" si="1305"/>
        <v>0</v>
      </c>
      <c r="BF622" s="137">
        <f>ROUND(BF617-BF632,6)</f>
        <v>0</v>
      </c>
      <c r="BG622" s="137">
        <f>ROUND(BG617-BG632,6)</f>
        <v>0</v>
      </c>
      <c r="BH622" s="555">
        <f>ROUND(BH617-BH632,6)</f>
        <v>0</v>
      </c>
      <c r="BI622" s="137">
        <f t="shared" ca="1" si="1305"/>
        <v>0</v>
      </c>
      <c r="BJ622" s="137">
        <f t="shared" ca="1" si="1304"/>
        <v>0</v>
      </c>
      <c r="BK622" s="137">
        <f ca="1" t="shared" si="1306" ref="BK622:BR622">ROUND(BK617-BK632,6)</f>
        <v>0</v>
      </c>
      <c r="BL622" s="137">
        <f t="shared" ca="1" si="1306"/>
        <v>0</v>
      </c>
      <c r="BM622" s="137">
        <f t="shared" ca="1" si="1306"/>
        <v>0</v>
      </c>
      <c r="BN622" s="137">
        <f t="shared" ca="1" si="1306"/>
        <v>0</v>
      </c>
      <c r="BO622" s="137">
        <f t="shared" ca="1" si="1306"/>
        <v>0</v>
      </c>
      <c r="BP622" s="137">
        <f t="shared" ca="1" si="1306"/>
        <v>0</v>
      </c>
      <c r="BQ622" s="137">
        <f t="shared" ca="1" si="1306"/>
        <v>0</v>
      </c>
      <c r="BR622" s="137">
        <f t="shared" ca="1" si="1306"/>
        <v>0</v>
      </c>
      <c r="BS622" s="833"/>
    </row>
    <row r="623" spans="1:71" s="181" customFormat="1" ht="15">
      <c r="A623" s="453"/>
      <c r="B623" s="480"/>
      <c r="C623" s="1043"/>
      <c r="D623" s="1043"/>
      <c r="E623" s="1043"/>
      <c r="F623" s="1043"/>
      <c r="G623" s="1043"/>
      <c r="H623" s="860"/>
      <c r="I623" s="860"/>
      <c r="J623" s="860"/>
      <c r="K623" s="860"/>
      <c r="L623" s="1043"/>
      <c r="M623" s="860"/>
      <c r="N623" s="860"/>
      <c r="O623" s="860"/>
      <c r="P623" s="860"/>
      <c r="Q623" s="1043"/>
      <c r="R623" s="860"/>
      <c r="S623" s="860"/>
      <c r="T623" s="860"/>
      <c r="U623" s="860"/>
      <c r="V623" s="1043"/>
      <c r="W623" s="860"/>
      <c r="X623" s="860"/>
      <c r="Y623" s="860"/>
      <c r="Z623" s="860"/>
      <c r="AA623" s="1043"/>
      <c r="AB623" s="860"/>
      <c r="AC623" s="860"/>
      <c r="AD623" s="860"/>
      <c r="AE623" s="860"/>
      <c r="AF623" s="1043"/>
      <c r="AG623" s="860"/>
      <c r="AH623" s="860"/>
      <c r="AI623" s="860"/>
      <c r="AJ623" s="860"/>
      <c r="AK623" s="1043"/>
      <c r="AL623" s="860"/>
      <c r="AM623" s="860"/>
      <c r="AN623" s="860"/>
      <c r="AO623" s="860"/>
      <c r="AP623" s="1043"/>
      <c r="AQ623" s="860"/>
      <c r="AR623" s="860"/>
      <c r="AS623" s="860"/>
      <c r="AT623" s="860"/>
      <c r="AU623" s="1043"/>
      <c r="AV623" s="860"/>
      <c r="AW623" s="860"/>
      <c r="AX623" s="860"/>
      <c r="AY623" s="860"/>
      <c r="AZ623" s="1043"/>
      <c r="BA623" s="860"/>
      <c r="BB623" s="860"/>
      <c r="BC623" s="860"/>
      <c r="BD623" s="860"/>
      <c r="BE623" s="1043"/>
      <c r="BF623" s="860"/>
      <c r="BG623" s="860"/>
      <c r="BH623" s="861"/>
      <c r="BI623" s="860"/>
      <c r="BJ623" s="1043"/>
      <c r="BK623" s="860"/>
      <c r="BL623" s="860"/>
      <c r="BM623" s="860"/>
      <c r="BN623" s="860"/>
      <c r="BO623" s="1043"/>
      <c r="BP623" s="1043"/>
      <c r="BQ623" s="1043"/>
      <c r="BR623" s="1043"/>
      <c r="BS623" s="423"/>
    </row>
    <row r="624" spans="1:71" s="181" customFormat="1" ht="15">
      <c r="A624" s="826" t="s">
        <v>231</v>
      </c>
      <c r="B624" s="826"/>
      <c r="C624" s="847"/>
      <c r="D624" s="847"/>
      <c r="E624" s="847"/>
      <c r="F624" s="847"/>
      <c r="G624" s="847"/>
      <c r="H624" s="847"/>
      <c r="I624" s="847"/>
      <c r="J624" s="847"/>
      <c r="K624" s="847"/>
      <c r="L624" s="847"/>
      <c r="M624" s="847"/>
      <c r="N624" s="847"/>
      <c r="O624" s="847"/>
      <c r="P624" s="847"/>
      <c r="Q624" s="847"/>
      <c r="R624" s="847"/>
      <c r="S624" s="847"/>
      <c r="T624" s="847"/>
      <c r="U624" s="847"/>
      <c r="V624" s="847"/>
      <c r="W624" s="847"/>
      <c r="X624" s="847"/>
      <c r="Y624" s="847"/>
      <c r="Z624" s="847"/>
      <c r="AA624" s="847"/>
      <c r="AB624" s="847"/>
      <c r="AC624" s="847"/>
      <c r="AD624" s="847"/>
      <c r="AE624" s="847"/>
      <c r="AF624" s="847"/>
      <c r="AG624" s="847"/>
      <c r="AH624" s="847"/>
      <c r="AI624" s="847"/>
      <c r="AJ624" s="847"/>
      <c r="AK624" s="847"/>
      <c r="AL624" s="847"/>
      <c r="AM624" s="847"/>
      <c r="AN624" s="847"/>
      <c r="AO624" s="847"/>
      <c r="AP624" s="847"/>
      <c r="AQ624" s="847"/>
      <c r="AR624" s="847"/>
      <c r="AS624" s="847"/>
      <c r="AT624" s="847"/>
      <c r="AU624" s="847"/>
      <c r="AV624" s="847"/>
      <c r="AW624" s="847"/>
      <c r="AX624" s="847"/>
      <c r="AY624" s="847"/>
      <c r="AZ624" s="847"/>
      <c r="BA624" s="847"/>
      <c r="BB624" s="847"/>
      <c r="BC624" s="847"/>
      <c r="BD624" s="847"/>
      <c r="BE624" s="847"/>
      <c r="BF624" s="847"/>
      <c r="BG624" s="847"/>
      <c r="BH624" s="848"/>
      <c r="BI624" s="847"/>
      <c r="BJ624" s="847"/>
      <c r="BK624" s="847"/>
      <c r="BL624" s="847"/>
      <c r="BM624" s="847"/>
      <c r="BN624" s="847"/>
      <c r="BO624" s="847"/>
      <c r="BP624" s="847"/>
      <c r="BQ624" s="847"/>
      <c r="BR624" s="847"/>
      <c r="BS624" s="423"/>
    </row>
    <row r="625" spans="1:71" s="181" customFormat="1" ht="15">
      <c r="A625" s="183" t="s">
        <v>232</v>
      </c>
      <c r="B625" s="480"/>
      <c r="C625" s="1009"/>
      <c r="D625" s="1009"/>
      <c r="E625" s="1009"/>
      <c r="F625" s="1009"/>
      <c r="G625" s="1009"/>
      <c r="H625" s="199"/>
      <c r="I625" s="199"/>
      <c r="J625" s="199"/>
      <c r="K625" s="199"/>
      <c r="L625" s="1009"/>
      <c r="M625" s="199"/>
      <c r="N625" s="199"/>
      <c r="O625" s="199"/>
      <c r="P625" s="199"/>
      <c r="Q625" s="1009"/>
      <c r="R625" s="199"/>
      <c r="S625" s="199"/>
      <c r="T625" s="199"/>
      <c r="U625" s="199"/>
      <c r="V625" s="1009"/>
      <c r="W625" s="199"/>
      <c r="X625" s="199"/>
      <c r="Y625" s="199"/>
      <c r="Z625" s="199"/>
      <c r="AA625" s="1009"/>
      <c r="AB625" s="199"/>
      <c r="AC625" s="199"/>
      <c r="AD625" s="199"/>
      <c r="AE625" s="199"/>
      <c r="AF625" s="1009"/>
      <c r="AG625" s="199"/>
      <c r="AH625" s="199"/>
      <c r="AI625" s="199"/>
      <c r="AJ625" s="199"/>
      <c r="AK625" s="1009"/>
      <c r="AL625" s="199"/>
      <c r="AM625" s="199"/>
      <c r="AN625" s="199"/>
      <c r="AO625" s="199"/>
      <c r="AP625" s="1009"/>
      <c r="AQ625" s="199"/>
      <c r="AR625" s="199"/>
      <c r="AS625" s="199"/>
      <c r="AT625" s="199"/>
      <c r="AU625" s="1009"/>
      <c r="AV625" s="199"/>
      <c r="AW625" s="199"/>
      <c r="AX625" s="199"/>
      <c r="AY625" s="199"/>
      <c r="AZ625" s="1009"/>
      <c r="BA625" s="199"/>
      <c r="BB625" s="199"/>
      <c r="BC625" s="199"/>
      <c r="BD625" s="199"/>
      <c r="BE625" s="1009"/>
      <c r="BF625" s="199"/>
      <c r="BG625" s="199"/>
      <c r="BH625" s="554"/>
      <c r="BI625" s="199"/>
      <c r="BJ625" s="1009"/>
      <c r="BK625" s="199"/>
      <c r="BL625" s="199"/>
      <c r="BM625" s="199"/>
      <c r="BN625" s="199"/>
      <c r="BO625" s="1009"/>
      <c r="BP625" s="1009"/>
      <c r="BQ625" s="1009"/>
      <c r="BR625" s="1009"/>
      <c r="BS625" s="423"/>
    </row>
    <row r="626" spans="1:71" s="24" customFormat="1" ht="15">
      <c r="A626" s="184" t="s">
        <v>233</v>
      </c>
      <c r="B626" s="462"/>
      <c r="C626" s="1032">
        <v>65847</v>
      </c>
      <c r="D626" s="1032">
        <v>62820</v>
      </c>
      <c r="E626" s="1032">
        <v>64232</v>
      </c>
      <c r="F626" s="1032">
        <v>65393</v>
      </c>
      <c r="G626" s="1032">
        <v>63956</v>
      </c>
      <c r="H626" s="924">
        <v>64271</v>
      </c>
      <c r="I626" s="924">
        <v>64583</v>
      </c>
      <c r="J626" s="924">
        <v>63622</v>
      </c>
      <c r="K626" s="265">
        <f>L626</f>
        <v>63474</v>
      </c>
      <c r="L626" s="1032">
        <v>63474</v>
      </c>
      <c r="M626" s="924">
        <v>62769</v>
      </c>
      <c r="N626" s="924">
        <v>61933</v>
      </c>
      <c r="O626" s="924">
        <v>61671</v>
      </c>
      <c r="P626" s="265">
        <f>Q626</f>
        <v>60658</v>
      </c>
      <c r="Q626" s="1032">
        <v>60658</v>
      </c>
      <c r="R626" s="924">
        <v>61985</v>
      </c>
      <c r="S626" s="924">
        <v>63311</v>
      </c>
      <c r="T626" s="924">
        <v>63036</v>
      </c>
      <c r="U626" s="265">
        <f>V626</f>
        <v>60515</v>
      </c>
      <c r="V626" s="1032">
        <v>60515</v>
      </c>
      <c r="W626" s="924">
        <v>61268</v>
      </c>
      <c r="X626" s="924">
        <v>61907</v>
      </c>
      <c r="Y626" s="924">
        <v>62157</v>
      </c>
      <c r="Z626" s="265">
        <f>AA626</f>
        <v>62694</v>
      </c>
      <c r="AA626" s="1032">
        <v>62694</v>
      </c>
      <c r="AB626" s="924">
        <v>62266</v>
      </c>
      <c r="AC626" s="924">
        <v>62536</v>
      </c>
      <c r="AD626" s="924">
        <v>62424</v>
      </c>
      <c r="AE626" s="265">
        <f>AF626</f>
        <v>63464</v>
      </c>
      <c r="AF626" s="1032">
        <v>63464</v>
      </c>
      <c r="AG626" s="924">
        <v>65500</v>
      </c>
      <c r="AH626" s="924">
        <v>67172</v>
      </c>
      <c r="AI626" s="924">
        <v>68011</v>
      </c>
      <c r="AJ626" s="265">
        <f>AK626</f>
        <v>68134</v>
      </c>
      <c r="AK626" s="1032">
        <v>68134</v>
      </c>
      <c r="AL626" s="924">
        <v>67897</v>
      </c>
      <c r="AM626" s="924">
        <v>70054</v>
      </c>
      <c r="AN626" s="924">
        <v>72574</v>
      </c>
      <c r="AO626" s="265">
        <f>AP626</f>
        <v>74003</v>
      </c>
      <c r="AP626" s="1032">
        <v>74003</v>
      </c>
      <c r="AQ626" s="924">
        <v>73861</v>
      </c>
      <c r="AR626" s="924">
        <v>75576</v>
      </c>
      <c r="AS626" s="924">
        <v>77040</v>
      </c>
      <c r="AT626" s="265">
        <f>AU626</f>
        <v>77810</v>
      </c>
      <c r="AU626" s="1032">
        <v>77810</v>
      </c>
      <c r="AV626" s="924">
        <v>74386</v>
      </c>
      <c r="AW626" s="924">
        <v>71099</v>
      </c>
      <c r="AX626" s="924">
        <v>68450</v>
      </c>
      <c r="AY626" s="265">
        <f>AZ626</f>
        <v>71160</v>
      </c>
      <c r="AZ626" s="1032">
        <v>71160</v>
      </c>
      <c r="BA626" s="924">
        <v>72914</v>
      </c>
      <c r="BB626" s="924">
        <v>73212</v>
      </c>
      <c r="BC626" s="924">
        <v>72584</v>
      </c>
      <c r="BD626" s="265">
        <f>BE626</f>
        <v>77807</v>
      </c>
      <c r="BE626" s="1032">
        <v>77807</v>
      </c>
      <c r="BF626" s="924">
        <v>77991</v>
      </c>
      <c r="BG626" s="924">
        <v>79188</v>
      </c>
      <c r="BH626" s="925">
        <v>83985</v>
      </c>
      <c r="BI626" s="210"/>
      <c r="BJ626" s="994"/>
      <c r="BK626" s="210"/>
      <c r="BL626" s="210"/>
      <c r="BM626" s="210"/>
      <c r="BN626" s="210"/>
      <c r="BO626" s="994"/>
      <c r="BP626" s="994"/>
      <c r="BQ626" s="994"/>
      <c r="BR626" s="994"/>
      <c r="BS626" s="833"/>
    </row>
    <row r="627" spans="1:71" s="24" customFormat="1" ht="15">
      <c r="A627" s="184" t="s">
        <v>234</v>
      </c>
      <c r="B627" s="462"/>
      <c r="C627" s="1032">
        <v>451</v>
      </c>
      <c r="D627" s="1032">
        <v>519</v>
      </c>
      <c r="E627" s="1032">
        <v>559</v>
      </c>
      <c r="F627" s="1032">
        <v>645</v>
      </c>
      <c r="G627" s="1032">
        <v>943</v>
      </c>
      <c r="H627" s="924">
        <v>938</v>
      </c>
      <c r="I627" s="924">
        <v>980</v>
      </c>
      <c r="J627" s="924">
        <v>949</v>
      </c>
      <c r="K627" s="265">
        <f>L627</f>
        <v>899</v>
      </c>
      <c r="L627" s="1032">
        <v>899</v>
      </c>
      <c r="M627" s="924">
        <v>866</v>
      </c>
      <c r="N627" s="924">
        <v>828</v>
      </c>
      <c r="O627" s="924">
        <v>719</v>
      </c>
      <c r="P627" s="265">
        <f>Q627</f>
        <v>705</v>
      </c>
      <c r="Q627" s="1032">
        <v>705</v>
      </c>
      <c r="R627" s="924">
        <v>710</v>
      </c>
      <c r="S627" s="924">
        <v>752</v>
      </c>
      <c r="T627" s="924">
        <v>744</v>
      </c>
      <c r="U627" s="265">
        <f>V627</f>
        <v>732</v>
      </c>
      <c r="V627" s="1032">
        <v>732</v>
      </c>
      <c r="W627" s="924">
        <v>751</v>
      </c>
      <c r="X627" s="924">
        <v>700</v>
      </c>
      <c r="Y627" s="924">
        <v>601</v>
      </c>
      <c r="Z627" s="265">
        <f>AA627</f>
        <v>453</v>
      </c>
      <c r="AA627" s="1032">
        <v>453</v>
      </c>
      <c r="AB627" s="924">
        <v>430</v>
      </c>
      <c r="AC627" s="924">
        <v>424</v>
      </c>
      <c r="AD627" s="924">
        <v>426</v>
      </c>
      <c r="AE627" s="265">
        <f>AF627</f>
        <v>368</v>
      </c>
      <c r="AF627" s="1032">
        <v>368</v>
      </c>
      <c r="AG627" s="924">
        <v>400</v>
      </c>
      <c r="AH627" s="924">
        <v>406</v>
      </c>
      <c r="AI627" s="924">
        <v>412</v>
      </c>
      <c r="AJ627" s="265">
        <f>AK627</f>
        <v>425</v>
      </c>
      <c r="AK627" s="1032">
        <v>425</v>
      </c>
      <c r="AL627" s="924">
        <v>342</v>
      </c>
      <c r="AM627" s="924">
        <v>390</v>
      </c>
      <c r="AN627" s="924">
        <v>410</v>
      </c>
      <c r="AO627" s="265">
        <f>AP627</f>
        <v>453</v>
      </c>
      <c r="AP627" s="1032">
        <v>453</v>
      </c>
      <c r="AQ627" s="924">
        <v>477</v>
      </c>
      <c r="AR627" s="924">
        <v>513</v>
      </c>
      <c r="AS627" s="924">
        <v>509</v>
      </c>
      <c r="AT627" s="265">
        <f>AU627</f>
        <v>893</v>
      </c>
      <c r="AU627" s="1032">
        <v>893</v>
      </c>
      <c r="AV627" s="924">
        <v>880</v>
      </c>
      <c r="AW627" s="924">
        <v>800</v>
      </c>
      <c r="AX627" s="924">
        <v>774</v>
      </c>
      <c r="AY627" s="265">
        <f>AZ627</f>
        <v>807</v>
      </c>
      <c r="AZ627" s="1032">
        <v>807</v>
      </c>
      <c r="BA627" s="924">
        <v>649</v>
      </c>
      <c r="BB627" s="924">
        <v>587</v>
      </c>
      <c r="BC627" s="924">
        <v>573</v>
      </c>
      <c r="BD627" s="265">
        <f>BE627</f>
        <v>608</v>
      </c>
      <c r="BE627" s="1032">
        <v>608</v>
      </c>
      <c r="BF627" s="924">
        <v>689</v>
      </c>
      <c r="BG627" s="924">
        <v>644</v>
      </c>
      <c r="BH627" s="925">
        <v>702</v>
      </c>
      <c r="BI627" s="210"/>
      <c r="BJ627" s="994"/>
      <c r="BK627" s="210"/>
      <c r="BL627" s="210"/>
      <c r="BM627" s="210"/>
      <c r="BN627" s="210"/>
      <c r="BO627" s="994"/>
      <c r="BP627" s="994"/>
      <c r="BQ627" s="994"/>
      <c r="BR627" s="994"/>
      <c r="BS627" s="833"/>
    </row>
    <row r="628" spans="1:71" s="24" customFormat="1" ht="15">
      <c r="A628" s="184" t="s">
        <v>235</v>
      </c>
      <c r="B628" s="462"/>
      <c r="C628" s="1032">
        <v>865</v>
      </c>
      <c r="D628" s="1032">
        <v>838</v>
      </c>
      <c r="E628" s="1032">
        <v>865</v>
      </c>
      <c r="F628" s="1032">
        <v>883</v>
      </c>
      <c r="G628" s="1032">
        <v>938</v>
      </c>
      <c r="H628" s="924">
        <v>936</v>
      </c>
      <c r="I628" s="924">
        <v>954</v>
      </c>
      <c r="J628" s="924">
        <v>949</v>
      </c>
      <c r="K628" s="265">
        <f>L628</f>
        <v>938</v>
      </c>
      <c r="L628" s="1032">
        <v>938</v>
      </c>
      <c r="M628" s="924">
        <v>929</v>
      </c>
      <c r="N628" s="924">
        <v>980</v>
      </c>
      <c r="O628" s="924">
        <v>1011</v>
      </c>
      <c r="P628" s="265">
        <f>Q628</f>
        <v>989</v>
      </c>
      <c r="Q628" s="1032">
        <v>989</v>
      </c>
      <c r="R628" s="924">
        <v>927</v>
      </c>
      <c r="S628" s="924">
        <v>929</v>
      </c>
      <c r="T628" s="924">
        <v>929</v>
      </c>
      <c r="U628" s="265">
        <f>V628</f>
        <v>928</v>
      </c>
      <c r="V628" s="1032">
        <v>928</v>
      </c>
      <c r="W628" s="924">
        <v>926</v>
      </c>
      <c r="X628" s="924">
        <v>920</v>
      </c>
      <c r="Y628" s="924">
        <v>923</v>
      </c>
      <c r="Z628" s="265">
        <f>AA628</f>
        <v>932</v>
      </c>
      <c r="AA628" s="1032">
        <v>932</v>
      </c>
      <c r="AB628" s="924">
        <v>954</v>
      </c>
      <c r="AC628" s="924">
        <v>954</v>
      </c>
      <c r="AD628" s="924">
        <v>951</v>
      </c>
      <c r="AE628" s="265">
        <f>AF628</f>
        <v>904</v>
      </c>
      <c r="AF628" s="1032">
        <v>904</v>
      </c>
      <c r="AG628" s="924">
        <v>969</v>
      </c>
      <c r="AH628" s="924">
        <v>965</v>
      </c>
      <c r="AI628" s="924">
        <v>963</v>
      </c>
      <c r="AJ628" s="265">
        <f>AK628</f>
        <v>963</v>
      </c>
      <c r="AK628" s="1032">
        <v>963</v>
      </c>
      <c r="AL628" s="924">
        <v>966</v>
      </c>
      <c r="AM628" s="924">
        <v>962</v>
      </c>
      <c r="AN628" s="924">
        <v>957</v>
      </c>
      <c r="AO628" s="265">
        <f>AP628</f>
        <v>1026</v>
      </c>
      <c r="AP628" s="1032">
        <v>1026</v>
      </c>
      <c r="AQ628" s="924">
        <v>1018</v>
      </c>
      <c r="AR628" s="924">
        <v>1015</v>
      </c>
      <c r="AS628" s="924">
        <v>1004</v>
      </c>
      <c r="AT628" s="265">
        <f>AU628</f>
        <v>979</v>
      </c>
      <c r="AU628" s="1032">
        <v>979</v>
      </c>
      <c r="AV628" s="924">
        <v>975</v>
      </c>
      <c r="AW628" s="924">
        <v>970</v>
      </c>
      <c r="AX628" s="924">
        <v>954</v>
      </c>
      <c r="AY628" s="265">
        <f>AZ628</f>
        <v>952</v>
      </c>
      <c r="AZ628" s="1032">
        <v>952</v>
      </c>
      <c r="BA628" s="924">
        <v>953</v>
      </c>
      <c r="BB628" s="924">
        <v>953</v>
      </c>
      <c r="BC628" s="924">
        <v>960</v>
      </c>
      <c r="BD628" s="265">
        <f>BE628</f>
        <v>959</v>
      </c>
      <c r="BE628" s="1032">
        <v>959</v>
      </c>
      <c r="BF628" s="924">
        <v>958</v>
      </c>
      <c r="BG628" s="924">
        <v>956</v>
      </c>
      <c r="BH628" s="925">
        <v>901</v>
      </c>
      <c r="BI628" s="210"/>
      <c r="BJ628" s="994"/>
      <c r="BK628" s="210"/>
      <c r="BL628" s="210"/>
      <c r="BM628" s="210"/>
      <c r="BN628" s="210"/>
      <c r="BO628" s="994"/>
      <c r="BP628" s="994"/>
      <c r="BQ628" s="994"/>
      <c r="BR628" s="994"/>
      <c r="BS628" s="833"/>
    </row>
    <row r="629" spans="1:71" s="24" customFormat="1" ht="15">
      <c r="A629" s="184" t="s">
        <v>236</v>
      </c>
      <c r="B629" s="462"/>
      <c r="C629" s="1032">
        <v>4852</v>
      </c>
      <c r="D629" s="1032">
        <v>5616</v>
      </c>
      <c r="E629" s="1032">
        <v>3594</v>
      </c>
      <c r="F629" s="1032">
        <v>3483</v>
      </c>
      <c r="G629" s="1032">
        <v>3882</v>
      </c>
      <c r="H629" s="924">
        <v>4034</v>
      </c>
      <c r="I629" s="924">
        <v>3818</v>
      </c>
      <c r="J629" s="924">
        <v>5033</v>
      </c>
      <c r="K629" s="265">
        <f>L629</f>
        <v>4364</v>
      </c>
      <c r="L629" s="1032">
        <v>4364</v>
      </c>
      <c r="M629" s="924">
        <v>4490</v>
      </c>
      <c r="N629" s="924">
        <v>3924</v>
      </c>
      <c r="O629" s="924">
        <v>5128</v>
      </c>
      <c r="P629" s="265">
        <f>Q629</f>
        <v>4671</v>
      </c>
      <c r="Q629" s="1032">
        <v>4671</v>
      </c>
      <c r="R629" s="924">
        <v>4587</v>
      </c>
      <c r="S629" s="924">
        <v>3988</v>
      </c>
      <c r="T629" s="924">
        <v>4803</v>
      </c>
      <c r="U629" s="265">
        <f>V629</f>
        <v>4865</v>
      </c>
      <c r="V629" s="1032">
        <v>4865</v>
      </c>
      <c r="W629" s="924">
        <v>4817</v>
      </c>
      <c r="X629" s="924">
        <v>5292</v>
      </c>
      <c r="Y629" s="924">
        <v>5859</v>
      </c>
      <c r="Z629" s="265">
        <f>AA629</f>
        <v>4895</v>
      </c>
      <c r="AA629" s="1032">
        <v>4895</v>
      </c>
      <c r="AB629" s="924">
        <v>4486</v>
      </c>
      <c r="AC629" s="924">
        <v>3692</v>
      </c>
      <c r="AD629" s="924">
        <v>4437</v>
      </c>
      <c r="AE629" s="265">
        <f>AF629</f>
        <v>3985</v>
      </c>
      <c r="AF629" s="1032">
        <v>3985</v>
      </c>
      <c r="AG629" s="924">
        <v>4094</v>
      </c>
      <c r="AH629" s="924">
        <v>3487</v>
      </c>
      <c r="AI629" s="924">
        <v>4597</v>
      </c>
      <c r="AJ629" s="265">
        <f>AK629</f>
        <v>4943</v>
      </c>
      <c r="AK629" s="1032">
        <v>4943</v>
      </c>
      <c r="AL629" s="924">
        <v>4033</v>
      </c>
      <c r="AM629" s="924">
        <v>6087</v>
      </c>
      <c r="AN629" s="924">
        <v>6329</v>
      </c>
      <c r="AO629" s="265">
        <f>AP629</f>
        <v>5511</v>
      </c>
      <c r="AP629" s="1032">
        <v>5511</v>
      </c>
      <c r="AQ629" s="924">
        <v>4987</v>
      </c>
      <c r="AR629" s="924">
        <v>5703</v>
      </c>
      <c r="AS629" s="924">
        <v>4754</v>
      </c>
      <c r="AT629" s="265">
        <f>AU629</f>
        <v>3836</v>
      </c>
      <c r="AU629" s="1032">
        <v>3836</v>
      </c>
      <c r="AV629" s="924">
        <v>3467</v>
      </c>
      <c r="AW629" s="924">
        <v>3569</v>
      </c>
      <c r="AX629" s="924">
        <v>3927</v>
      </c>
      <c r="AY629" s="265">
        <f>AZ629</f>
        <v>3470</v>
      </c>
      <c r="AZ629" s="1032">
        <v>3470</v>
      </c>
      <c r="BA629" s="924">
        <v>3243</v>
      </c>
      <c r="BB629" s="924">
        <v>3892</v>
      </c>
      <c r="BC629" s="924">
        <v>4488</v>
      </c>
      <c r="BD629" s="265">
        <f>BE629</f>
        <v>5137</v>
      </c>
      <c r="BE629" s="1032">
        <v>5137</v>
      </c>
      <c r="BF629" s="924">
        <v>4682</v>
      </c>
      <c r="BG629" s="924">
        <v>4353</v>
      </c>
      <c r="BH629" s="925">
        <v>5482</v>
      </c>
      <c r="BI629" s="210"/>
      <c r="BJ629" s="994"/>
      <c r="BK629" s="210"/>
      <c r="BL629" s="210"/>
      <c r="BM629" s="210"/>
      <c r="BN629" s="210"/>
      <c r="BO629" s="994"/>
      <c r="BP629" s="994"/>
      <c r="BQ629" s="994"/>
      <c r="BR629" s="994"/>
      <c r="BS629" s="833"/>
    </row>
    <row r="630" spans="1:71" s="24" customFormat="1" ht="15">
      <c r="A630" s="179" t="s">
        <v>237</v>
      </c>
      <c r="B630" s="478"/>
      <c r="C630" s="1033">
        <v>2950</v>
      </c>
      <c r="D630" s="1033">
        <v>2929</v>
      </c>
      <c r="E630" s="1033">
        <v>3451</v>
      </c>
      <c r="F630" s="1033">
        <v>3434</v>
      </c>
      <c r="G630" s="1033">
        <v>3441</v>
      </c>
      <c r="H630" s="927">
        <v>3539</v>
      </c>
      <c r="I630" s="927">
        <v>3606</v>
      </c>
      <c r="J630" s="927">
        <v>3637</v>
      </c>
      <c r="K630" s="186">
        <f>L630</f>
        <v>3586</v>
      </c>
      <c r="L630" s="1033">
        <v>3586</v>
      </c>
      <c r="M630" s="927">
        <v>3565</v>
      </c>
      <c r="N630" s="927">
        <v>3565</v>
      </c>
      <c r="O630" s="927">
        <v>3530</v>
      </c>
      <c r="P630" s="186">
        <f>Q630</f>
        <v>3447</v>
      </c>
      <c r="Q630" s="1033">
        <v>3447</v>
      </c>
      <c r="R630" s="927">
        <v>3469</v>
      </c>
      <c r="S630" s="927">
        <v>3490</v>
      </c>
      <c r="T630" s="927">
        <v>3452</v>
      </c>
      <c r="U630" s="186">
        <f>V630</f>
        <v>3448</v>
      </c>
      <c r="V630" s="1033">
        <v>3448</v>
      </c>
      <c r="W630" s="927">
        <v>3495</v>
      </c>
      <c r="X630" s="927">
        <v>3512</v>
      </c>
      <c r="Y630" s="927">
        <v>3552</v>
      </c>
      <c r="Z630" s="186">
        <f>AA630</f>
        <v>3528</v>
      </c>
      <c r="AA630" s="1033">
        <v>3528</v>
      </c>
      <c r="AB630" s="927">
        <v>3588</v>
      </c>
      <c r="AC630" s="927">
        <v>3555</v>
      </c>
      <c r="AD630" s="927">
        <v>3615</v>
      </c>
      <c r="AE630" s="186">
        <f>AF630</f>
        <v>3557</v>
      </c>
      <c r="AF630" s="1033">
        <v>3557</v>
      </c>
      <c r="AG630" s="927">
        <v>3554</v>
      </c>
      <c r="AH630" s="927">
        <v>3466</v>
      </c>
      <c r="AI630" s="927">
        <v>3437</v>
      </c>
      <c r="AJ630" s="186">
        <f>AK630</f>
        <v>3419</v>
      </c>
      <c r="AK630" s="1033">
        <v>3419</v>
      </c>
      <c r="AL630" s="927">
        <v>3412</v>
      </c>
      <c r="AM630" s="927">
        <v>3108</v>
      </c>
      <c r="AN630" s="927">
        <v>3291</v>
      </c>
      <c r="AO630" s="186">
        <f>AP630</f>
        <v>3430</v>
      </c>
      <c r="AP630" s="1033">
        <v>3430</v>
      </c>
      <c r="AQ630" s="927">
        <v>3544</v>
      </c>
      <c r="AR630" s="927">
        <v>3738</v>
      </c>
      <c r="AS630" s="927">
        <v>4199</v>
      </c>
      <c r="AT630" s="186">
        <f>AU630</f>
        <v>3857</v>
      </c>
      <c r="AU630" s="1033">
        <v>3857</v>
      </c>
      <c r="AV630" s="927">
        <v>3956</v>
      </c>
      <c r="AW630" s="927">
        <v>4021</v>
      </c>
      <c r="AX630" s="927">
        <v>4008</v>
      </c>
      <c r="AY630" s="186">
        <f>AZ630</f>
        <v>4065</v>
      </c>
      <c r="AZ630" s="1033">
        <v>4065</v>
      </c>
      <c r="BA630" s="927">
        <v>4276</v>
      </c>
      <c r="BB630" s="927">
        <v>4329</v>
      </c>
      <c r="BC630" s="927">
        <v>4351</v>
      </c>
      <c r="BD630" s="186">
        <f>BE630</f>
        <v>4299</v>
      </c>
      <c r="BE630" s="1033">
        <v>4299</v>
      </c>
      <c r="BF630" s="927">
        <v>4337</v>
      </c>
      <c r="BG630" s="927">
        <v>4370</v>
      </c>
      <c r="BH630" s="928">
        <v>4380</v>
      </c>
      <c r="BI630" s="205"/>
      <c r="BJ630" s="996"/>
      <c r="BK630" s="205"/>
      <c r="BL630" s="205"/>
      <c r="BM630" s="205"/>
      <c r="BN630" s="205"/>
      <c r="BO630" s="996"/>
      <c r="BP630" s="996"/>
      <c r="BQ630" s="996"/>
      <c r="BR630" s="996"/>
      <c r="BS630" s="833"/>
    </row>
    <row r="631" spans="1:71" s="24" customFormat="1" ht="15">
      <c r="A631" s="87" t="s">
        <v>238</v>
      </c>
      <c r="B631" s="483"/>
      <c r="C631" s="1055">
        <f t="shared" si="1307" ref="C631:AM631">SUM(C626:C630)</f>
        <v>74965</v>
      </c>
      <c r="D631" s="1055">
        <f t="shared" si="1307"/>
        <v>72722</v>
      </c>
      <c r="E631" s="1055">
        <f t="shared" si="1307"/>
        <v>72701</v>
      </c>
      <c r="F631" s="1055">
        <f t="shared" si="1307"/>
        <v>73838</v>
      </c>
      <c r="G631" s="1055">
        <f t="shared" si="1307"/>
        <v>73160</v>
      </c>
      <c r="H631" s="102">
        <f t="shared" si="1307"/>
        <v>73718</v>
      </c>
      <c r="I631" s="102">
        <f t="shared" si="1307"/>
        <v>73941</v>
      </c>
      <c r="J631" s="102">
        <f t="shared" si="1307"/>
        <v>74190</v>
      </c>
      <c r="K631" s="102">
        <f t="shared" si="1307"/>
        <v>73261</v>
      </c>
      <c r="L631" s="1055">
        <f t="shared" si="1307"/>
        <v>73261</v>
      </c>
      <c r="M631" s="102">
        <f t="shared" si="1307"/>
        <v>72619</v>
      </c>
      <c r="N631" s="102">
        <f t="shared" si="1307"/>
        <v>71230</v>
      </c>
      <c r="O631" s="102">
        <f t="shared" si="1307"/>
        <v>72059</v>
      </c>
      <c r="P631" s="102">
        <f t="shared" si="1307"/>
        <v>70470</v>
      </c>
      <c r="Q631" s="1055">
        <f t="shared" si="1307"/>
        <v>70470</v>
      </c>
      <c r="R631" s="102">
        <f t="shared" si="1307"/>
        <v>71678</v>
      </c>
      <c r="S631" s="102">
        <f t="shared" si="1307"/>
        <v>72470</v>
      </c>
      <c r="T631" s="102">
        <f t="shared" si="1307"/>
        <v>72964</v>
      </c>
      <c r="U631" s="102">
        <f t="shared" si="1307"/>
        <v>70488</v>
      </c>
      <c r="V631" s="1055">
        <f t="shared" si="1307"/>
        <v>70488</v>
      </c>
      <c r="W631" s="102">
        <f t="shared" si="1307"/>
        <v>71257</v>
      </c>
      <c r="X631" s="102">
        <f t="shared" si="1307"/>
        <v>72331</v>
      </c>
      <c r="Y631" s="102">
        <f t="shared" si="1307"/>
        <v>73092</v>
      </c>
      <c r="Z631" s="102">
        <f t="shared" si="1307"/>
        <v>72502</v>
      </c>
      <c r="AA631" s="1055">
        <f t="shared" si="1307"/>
        <v>72502</v>
      </c>
      <c r="AB631" s="102">
        <f t="shared" si="1307"/>
        <v>71724</v>
      </c>
      <c r="AC631" s="102">
        <f t="shared" si="1307"/>
        <v>71161</v>
      </c>
      <c r="AD631" s="102">
        <f t="shared" si="1307"/>
        <v>71853</v>
      </c>
      <c r="AE631" s="102">
        <f t="shared" si="1307"/>
        <v>72278</v>
      </c>
      <c r="AF631" s="1055">
        <f t="shared" si="1307"/>
        <v>72278</v>
      </c>
      <c r="AG631" s="102">
        <f t="shared" si="1307"/>
        <v>74517</v>
      </c>
      <c r="AH631" s="102">
        <f t="shared" si="1307"/>
        <v>75496</v>
      </c>
      <c r="AI631" s="102">
        <f t="shared" si="1307"/>
        <v>77420</v>
      </c>
      <c r="AJ631" s="102">
        <f t="shared" si="1307"/>
        <v>77884</v>
      </c>
      <c r="AK631" s="1055">
        <f t="shared" si="1307"/>
        <v>77884</v>
      </c>
      <c r="AL631" s="102">
        <f t="shared" si="1307"/>
        <v>76650</v>
      </c>
      <c r="AM631" s="102">
        <f t="shared" si="1307"/>
        <v>80601</v>
      </c>
      <c r="AN631" s="102">
        <f>SUM(AN626:AN630)</f>
        <v>83561</v>
      </c>
      <c r="AO631" s="102">
        <f t="shared" si="1308" ref="AO631:AP631">SUM(AO626:AO630)</f>
        <v>84423</v>
      </c>
      <c r="AP631" s="1055">
        <f t="shared" si="1308"/>
        <v>84423</v>
      </c>
      <c r="AQ631" s="102">
        <f t="shared" si="1309" ref="AQ631">SUM(AQ626:AQ630)</f>
        <v>83887</v>
      </c>
      <c r="AR631" s="102">
        <f t="shared" si="1310" ref="AR631:AW631">SUM(AR626:AR630)</f>
        <v>86545</v>
      </c>
      <c r="AS631" s="102">
        <f t="shared" si="1310"/>
        <v>87506</v>
      </c>
      <c r="AT631" s="102">
        <f t="shared" si="1310"/>
        <v>87375</v>
      </c>
      <c r="AU631" s="1055">
        <f t="shared" si="1310"/>
        <v>87375</v>
      </c>
      <c r="AV631" s="102">
        <f t="shared" si="1310"/>
        <v>83664</v>
      </c>
      <c r="AW631" s="102">
        <f t="shared" si="1310"/>
        <v>80459</v>
      </c>
      <c r="AX631" s="102">
        <f t="shared" si="1311" ref="AX631:BC631">SUM(AX626:AX630)</f>
        <v>78113</v>
      </c>
      <c r="AY631" s="102">
        <f t="shared" si="1311"/>
        <v>80454</v>
      </c>
      <c r="AZ631" s="1055">
        <f t="shared" si="1311"/>
        <v>80454</v>
      </c>
      <c r="BA631" s="102">
        <f t="shared" si="1311"/>
        <v>82035</v>
      </c>
      <c r="BB631" s="102">
        <f t="shared" si="1311"/>
        <v>82973</v>
      </c>
      <c r="BC631" s="102">
        <f t="shared" si="1311"/>
        <v>82956</v>
      </c>
      <c r="BD631" s="102">
        <f>SUM(BD626:BD630)</f>
        <v>88810</v>
      </c>
      <c r="BE631" s="1055">
        <f>SUM(BE626:BE630)</f>
        <v>88810</v>
      </c>
      <c r="BF631" s="102">
        <f>SUM(BF626:BF630)</f>
        <v>88657</v>
      </c>
      <c r="BG631" s="102">
        <f>SUM(BG626:BG630)</f>
        <v>89511</v>
      </c>
      <c r="BH631" s="766">
        <f>SUM(BH626:BH630)</f>
        <v>95450</v>
      </c>
      <c r="BI631" s="484">
        <f>BH631-BI588</f>
        <v>90586.199999999997</v>
      </c>
      <c r="BJ631" s="1046">
        <f>BI631</f>
        <v>90586.199999999997</v>
      </c>
      <c r="BK631" s="484">
        <f>BJ631-BK588</f>
        <v>84224.149999999994</v>
      </c>
      <c r="BL631" s="484">
        <f>BK631-BL588</f>
        <v>91301.220000000001</v>
      </c>
      <c r="BM631" s="484">
        <f>BL631-BM588</f>
        <v>97359</v>
      </c>
      <c r="BN631" s="484">
        <f>BM631-BN588</f>
        <v>92397.923999999999</v>
      </c>
      <c r="BO631" s="1046">
        <f>BN631</f>
        <v>92397.923999999999</v>
      </c>
      <c r="BP631" s="1046">
        <f>BO631-BP588</f>
        <v>93321.90324</v>
      </c>
      <c r="BQ631" s="1046">
        <f>BP631-BQ588</f>
        <v>94255.122272399996</v>
      </c>
      <c r="BR631" s="1046">
        <f>BQ631-BR588</f>
        <v>95197.673495123992</v>
      </c>
      <c r="BS631" s="833"/>
    </row>
    <row r="632" spans="1:71" s="24" customFormat="1" ht="15">
      <c r="A632" s="263" t="s">
        <v>239</v>
      </c>
      <c r="B632" s="462"/>
      <c r="C632" s="1032">
        <v>255</v>
      </c>
      <c r="D632" s="1032">
        <v>200</v>
      </c>
      <c r="E632" s="1032">
        <v>214</v>
      </c>
      <c r="F632" s="1032">
        <v>330</v>
      </c>
      <c r="G632" s="1032">
        <v>294</v>
      </c>
      <c r="H632" s="924">
        <v>260</v>
      </c>
      <c r="I632" s="924">
        <v>311</v>
      </c>
      <c r="J632" s="924">
        <v>367</v>
      </c>
      <c r="K632" s="265">
        <f t="shared" si="1312" ref="K632:K642">L632</f>
        <v>374</v>
      </c>
      <c r="L632" s="1032">
        <v>374</v>
      </c>
      <c r="M632" s="924">
        <v>308</v>
      </c>
      <c r="N632" s="924">
        <v>317</v>
      </c>
      <c r="O632" s="924">
        <v>344</v>
      </c>
      <c r="P632" s="265">
        <f t="shared" si="1313" ref="P632:P642">Q632</f>
        <v>380</v>
      </c>
      <c r="Q632" s="1032">
        <v>380</v>
      </c>
      <c r="R632" s="924">
        <v>361</v>
      </c>
      <c r="S632" s="924">
        <v>265</v>
      </c>
      <c r="T632" s="924">
        <v>269</v>
      </c>
      <c r="U632" s="265">
        <f t="shared" si="1314" ref="U632:U642">V632</f>
        <v>307</v>
      </c>
      <c r="V632" s="1032">
        <v>307</v>
      </c>
      <c r="W632" s="924">
        <v>249</v>
      </c>
      <c r="X632" s="924">
        <v>328</v>
      </c>
      <c r="Y632" s="924">
        <v>379</v>
      </c>
      <c r="Z632" s="265">
        <f t="shared" si="1315" ref="Z632:Z642">AA632</f>
        <v>344</v>
      </c>
      <c r="AA632" s="1032">
        <v>344</v>
      </c>
      <c r="AB632" s="924">
        <v>397</v>
      </c>
      <c r="AC632" s="924">
        <v>415</v>
      </c>
      <c r="AD632" s="924">
        <v>359</v>
      </c>
      <c r="AE632" s="265">
        <f t="shared" si="1316" ref="AE632:AE642">AF632</f>
        <v>373</v>
      </c>
      <c r="AF632" s="1032">
        <v>373</v>
      </c>
      <c r="AG632" s="924">
        <v>357</v>
      </c>
      <c r="AH632" s="924">
        <v>416</v>
      </c>
      <c r="AI632" s="924">
        <v>508</v>
      </c>
      <c r="AJ632" s="265">
        <f t="shared" si="1317" ref="AJ632:AJ642">AK632</f>
        <v>494</v>
      </c>
      <c r="AK632" s="1032">
        <v>494</v>
      </c>
      <c r="AL632" s="924">
        <v>544</v>
      </c>
      <c r="AM632" s="924">
        <v>623</v>
      </c>
      <c r="AN632" s="924">
        <v>583</v>
      </c>
      <c r="AO632" s="265">
        <f t="shared" si="1318" ref="AO632:AO642">AP632</f>
        <v>721</v>
      </c>
      <c r="AP632" s="1032">
        <v>721</v>
      </c>
      <c r="AQ632" s="924">
        <v>663</v>
      </c>
      <c r="AR632" s="924">
        <v>689</v>
      </c>
      <c r="AS632" s="924">
        <v>818</v>
      </c>
      <c r="AT632" s="265">
        <f t="shared" si="1319" ref="AT632:AT642">AU632</f>
        <v>761</v>
      </c>
      <c r="AU632" s="1032">
        <v>761</v>
      </c>
      <c r="AV632" s="924">
        <v>752</v>
      </c>
      <c r="AW632" s="924">
        <v>710</v>
      </c>
      <c r="AX632" s="924">
        <v>773</v>
      </c>
      <c r="AY632" s="265">
        <f t="shared" si="1320" ref="AY632:AY642">AZ632</f>
        <v>799</v>
      </c>
      <c r="AZ632" s="1032">
        <v>799</v>
      </c>
      <c r="BA632" s="924">
        <v>767</v>
      </c>
      <c r="BB632" s="924">
        <v>605</v>
      </c>
      <c r="BC632" s="924">
        <v>593</v>
      </c>
      <c r="BD632" s="265">
        <f t="shared" si="1321" ref="BD632:BD642">BE632</f>
        <v>650</v>
      </c>
      <c r="BE632" s="1032">
        <v>650</v>
      </c>
      <c r="BF632" s="924">
        <v>667</v>
      </c>
      <c r="BG632" s="924">
        <v>729</v>
      </c>
      <c r="BH632" s="925">
        <v>772</v>
      </c>
      <c r="BI632" s="210">
        <f ca="1">+BH632+BI614</f>
        <v>7853.6370220785702</v>
      </c>
      <c r="BJ632" s="994">
        <f ca="1">BJ617</f>
        <v>7853.6370220785702</v>
      </c>
      <c r="BK632" s="210">
        <f ca="1">+BJ632+BK614</f>
        <v>16577.965137335541</v>
      </c>
      <c r="BL632" s="210">
        <f ca="1">+BK632+BL614</f>
        <v>11426.205189981174</v>
      </c>
      <c r="BM632" s="210">
        <f ca="1">+BL632+BM614</f>
        <v>7490.3518412334779</v>
      </c>
      <c r="BN632" s="210">
        <f ca="1">+BM632+BN614</f>
        <v>14782.652810286912</v>
      </c>
      <c r="BO632" s="994">
        <f ca="1">BO617</f>
        <v>14782.652810286911</v>
      </c>
      <c r="BP632" s="994">
        <f ca="1">+BO632+BP614</f>
        <v>23660.945546045321</v>
      </c>
      <c r="BQ632" s="994">
        <f ca="1">+BP632+BQ614</f>
        <v>32741.080676974663</v>
      </c>
      <c r="BR632" s="994">
        <f ca="1">+BQ632+BR614</f>
        <v>41915.341320310305</v>
      </c>
      <c r="BS632" s="833"/>
    </row>
    <row r="633" spans="1:71" s="24" customFormat="1" ht="15">
      <c r="A633" s="263" t="s">
        <v>240</v>
      </c>
      <c r="B633" s="462"/>
      <c r="C633" s="1032">
        <v>825</v>
      </c>
      <c r="D633" s="1032">
        <v>791</v>
      </c>
      <c r="E633" s="1032">
        <v>768</v>
      </c>
      <c r="F633" s="1032">
        <v>752</v>
      </c>
      <c r="G633" s="1032">
        <v>734</v>
      </c>
      <c r="H633" s="924">
        <v>686</v>
      </c>
      <c r="I633" s="924">
        <v>710</v>
      </c>
      <c r="J633" s="924">
        <v>663</v>
      </c>
      <c r="K633" s="265">
        <f t="shared" si="1312"/>
        <v>685</v>
      </c>
      <c r="L633" s="1032">
        <v>685</v>
      </c>
      <c r="M633" s="924">
        <v>628</v>
      </c>
      <c r="N633" s="924">
        <v>655</v>
      </c>
      <c r="O633" s="924">
        <v>613</v>
      </c>
      <c r="P633" s="265">
        <f t="shared" si="1313"/>
        <v>642</v>
      </c>
      <c r="Q633" s="1032">
        <v>642</v>
      </c>
      <c r="R633" s="924">
        <v>599</v>
      </c>
      <c r="S633" s="924">
        <v>627</v>
      </c>
      <c r="T633" s="924">
        <v>586</v>
      </c>
      <c r="U633" s="265">
        <f t="shared" si="1314"/>
        <v>630</v>
      </c>
      <c r="V633" s="1032">
        <v>630</v>
      </c>
      <c r="W633" s="924">
        <v>575</v>
      </c>
      <c r="X633" s="924">
        <v>602</v>
      </c>
      <c r="Y633" s="924">
        <v>568</v>
      </c>
      <c r="Z633" s="265">
        <f t="shared" si="1315"/>
        <v>606</v>
      </c>
      <c r="AA633" s="1032">
        <v>606</v>
      </c>
      <c r="AB633" s="924">
        <v>567</v>
      </c>
      <c r="AC633" s="924">
        <v>610</v>
      </c>
      <c r="AD633" s="924">
        <v>583</v>
      </c>
      <c r="AE633" s="265">
        <f t="shared" si="1316"/>
        <v>624</v>
      </c>
      <c r="AF633" s="1032">
        <v>624</v>
      </c>
      <c r="AG633" s="924">
        <v>591</v>
      </c>
      <c r="AH633" s="924">
        <v>615</v>
      </c>
      <c r="AI633" s="924">
        <v>575</v>
      </c>
      <c r="AJ633" s="265">
        <f t="shared" si="1317"/>
        <v>618</v>
      </c>
      <c r="AK633" s="1032">
        <v>618</v>
      </c>
      <c r="AL633" s="924">
        <v>567</v>
      </c>
      <c r="AM633" s="924">
        <v>596</v>
      </c>
      <c r="AN633" s="924">
        <v>554</v>
      </c>
      <c r="AO633" s="265">
        <f t="shared" si="1318"/>
        <v>603</v>
      </c>
      <c r="AP633" s="1032">
        <v>603</v>
      </c>
      <c r="AQ633" s="924">
        <v>569</v>
      </c>
      <c r="AR633" s="924">
        <v>608</v>
      </c>
      <c r="AS633" s="924">
        <v>565</v>
      </c>
      <c r="AT633" s="265">
        <f t="shared" si="1319"/>
        <v>615</v>
      </c>
      <c r="AU633" s="1032">
        <v>615</v>
      </c>
      <c r="AV633" s="924">
        <v>570</v>
      </c>
      <c r="AW633" s="924">
        <v>612</v>
      </c>
      <c r="AX633" s="924">
        <v>583</v>
      </c>
      <c r="AY633" s="265">
        <f t="shared" si="1320"/>
        <v>650</v>
      </c>
      <c r="AZ633" s="1032">
        <v>650</v>
      </c>
      <c r="BA633" s="924">
        <v>594</v>
      </c>
      <c r="BB633" s="924">
        <v>649</v>
      </c>
      <c r="BC633" s="924">
        <v>623</v>
      </c>
      <c r="BD633" s="265">
        <f t="shared" si="1321"/>
        <v>688</v>
      </c>
      <c r="BE633" s="1032">
        <v>688</v>
      </c>
      <c r="BF633" s="924">
        <v>648</v>
      </c>
      <c r="BG633" s="924">
        <v>690</v>
      </c>
      <c r="BH633" s="925">
        <v>665</v>
      </c>
      <c r="BI633" s="210">
        <f>BH633</f>
        <v>665</v>
      </c>
      <c r="BJ633" s="994">
        <f t="shared" si="1322" ref="BJ633:BJ634">BI633</f>
        <v>665</v>
      </c>
      <c r="BK633" s="210">
        <f t="shared" si="1323" ref="BK633:BR634">BJ633</f>
        <v>665</v>
      </c>
      <c r="BL633" s="210">
        <f t="shared" si="1323"/>
        <v>665</v>
      </c>
      <c r="BM633" s="210">
        <f t="shared" si="1323"/>
        <v>665</v>
      </c>
      <c r="BN633" s="210">
        <f t="shared" si="1323"/>
        <v>665</v>
      </c>
      <c r="BO633" s="994">
        <f t="shared" si="1323"/>
        <v>665</v>
      </c>
      <c r="BP633" s="994">
        <f t="shared" si="1323"/>
        <v>665</v>
      </c>
      <c r="BQ633" s="994">
        <f t="shared" si="1323"/>
        <v>665</v>
      </c>
      <c r="BR633" s="994">
        <f t="shared" si="1323"/>
        <v>665</v>
      </c>
      <c r="BS633" s="833"/>
    </row>
    <row r="634" spans="1:71" s="24" customFormat="1" ht="15">
      <c r="A634" s="263" t="s">
        <v>194</v>
      </c>
      <c r="B634" s="462"/>
      <c r="C634" s="1032">
        <v>5471</v>
      </c>
      <c r="D634" s="1032">
        <v>5497</v>
      </c>
      <c r="E634" s="1032">
        <v>5730</v>
      </c>
      <c r="F634" s="1032">
        <v>5872</v>
      </c>
      <c r="G634" s="1032">
        <v>6125</v>
      </c>
      <c r="H634" s="924">
        <v>6302</v>
      </c>
      <c r="I634" s="924">
        <v>6589</v>
      </c>
      <c r="J634" s="924">
        <v>6439</v>
      </c>
      <c r="K634" s="265">
        <f t="shared" si="1312"/>
        <v>6298</v>
      </c>
      <c r="L634" s="1032">
        <v>6298</v>
      </c>
      <c r="M634" s="924">
        <v>6528</v>
      </c>
      <c r="N634" s="924">
        <v>6764</v>
      </c>
      <c r="O634" s="924">
        <v>6559</v>
      </c>
      <c r="P634" s="265">
        <f t="shared" si="1313"/>
        <v>6437</v>
      </c>
      <c r="Q634" s="1032">
        <v>6437</v>
      </c>
      <c r="R634" s="924">
        <v>6845</v>
      </c>
      <c r="S634" s="924">
        <v>7014</v>
      </c>
      <c r="T634" s="924">
        <v>6785</v>
      </c>
      <c r="U634" s="265">
        <f t="shared" si="1314"/>
        <v>6722</v>
      </c>
      <c r="V634" s="1032">
        <v>6722</v>
      </c>
      <c r="W634" s="924">
        <v>7012</v>
      </c>
      <c r="X634" s="924">
        <v>7345</v>
      </c>
      <c r="Y634" s="924">
        <v>7267</v>
      </c>
      <c r="Z634" s="265">
        <f t="shared" si="1315"/>
        <v>7144</v>
      </c>
      <c r="AA634" s="1032">
        <v>7144</v>
      </c>
      <c r="AB634" s="924">
        <v>7536</v>
      </c>
      <c r="AC634" s="924">
        <v>7786</v>
      </c>
      <c r="AD634" s="924">
        <v>7639</v>
      </c>
      <c r="AE634" s="265">
        <f t="shared" si="1316"/>
        <v>7506</v>
      </c>
      <c r="AF634" s="1032">
        <v>7506</v>
      </c>
      <c r="AG634" s="924">
        <v>7947</v>
      </c>
      <c r="AH634" s="924">
        <v>8297</v>
      </c>
      <c r="AI634" s="924">
        <v>8122</v>
      </c>
      <c r="AJ634" s="265">
        <f t="shared" si="1317"/>
        <v>7909</v>
      </c>
      <c r="AK634" s="1032">
        <v>7909</v>
      </c>
      <c r="AL634" s="924">
        <v>8202</v>
      </c>
      <c r="AM634" s="924">
        <v>8459</v>
      </c>
      <c r="AN634" s="924">
        <v>8225</v>
      </c>
      <c r="AO634" s="265">
        <f t="shared" si="1318"/>
        <v>7829</v>
      </c>
      <c r="AP634" s="1032">
        <v>7829</v>
      </c>
      <c r="AQ634" s="924">
        <v>8167</v>
      </c>
      <c r="AR634" s="924">
        <v>8555</v>
      </c>
      <c r="AS634" s="924">
        <v>8289</v>
      </c>
      <c r="AT634" s="265">
        <f t="shared" si="1319"/>
        <v>8085</v>
      </c>
      <c r="AU634" s="1032">
        <v>8085</v>
      </c>
      <c r="AV634" s="924">
        <v>8593</v>
      </c>
      <c r="AW634" s="924">
        <v>9132</v>
      </c>
      <c r="AX634" s="924">
        <v>8886</v>
      </c>
      <c r="AY634" s="265">
        <f t="shared" si="1320"/>
        <v>8922</v>
      </c>
      <c r="AZ634" s="1032">
        <v>8922</v>
      </c>
      <c r="BA634" s="924">
        <v>9483</v>
      </c>
      <c r="BB634" s="924">
        <v>10327</v>
      </c>
      <c r="BC634" s="924">
        <v>10345</v>
      </c>
      <c r="BD634" s="265">
        <f t="shared" si="1321"/>
        <v>10282</v>
      </c>
      <c r="BE634" s="1032">
        <v>10282</v>
      </c>
      <c r="BF634" s="924">
        <v>10829</v>
      </c>
      <c r="BG634" s="924">
        <v>11491</v>
      </c>
      <c r="BH634" s="925">
        <v>11271</v>
      </c>
      <c r="BI634" s="210">
        <f>BH634</f>
        <v>11271</v>
      </c>
      <c r="BJ634" s="994">
        <f t="shared" si="1322"/>
        <v>11271</v>
      </c>
      <c r="BK634" s="210">
        <f t="shared" si="1323"/>
        <v>11271</v>
      </c>
      <c r="BL634" s="210">
        <f t="shared" si="1323"/>
        <v>11271</v>
      </c>
      <c r="BM634" s="210">
        <f t="shared" si="1323"/>
        <v>11271</v>
      </c>
      <c r="BN634" s="210">
        <f t="shared" si="1323"/>
        <v>11271</v>
      </c>
      <c r="BO634" s="994">
        <f t="shared" si="1323"/>
        <v>11271</v>
      </c>
      <c r="BP634" s="994">
        <f t="shared" si="1323"/>
        <v>11271</v>
      </c>
      <c r="BQ634" s="994">
        <f t="shared" si="1323"/>
        <v>11271</v>
      </c>
      <c r="BR634" s="994">
        <f t="shared" si="1323"/>
        <v>11271</v>
      </c>
      <c r="BS634" s="833"/>
    </row>
    <row r="635" spans="1:71" s="24" customFormat="1" ht="15">
      <c r="A635" s="263" t="s">
        <v>195</v>
      </c>
      <c r="B635" s="462"/>
      <c r="C635" s="1032">
        <v>12816</v>
      </c>
      <c r="D635" s="1032">
        <v>11994</v>
      </c>
      <c r="E635" s="1032">
        <v>11155</v>
      </c>
      <c r="F635" s="1032">
        <v>10712</v>
      </c>
      <c r="G635" s="1032">
        <v>9713</v>
      </c>
      <c r="H635" s="924">
        <v>9590</v>
      </c>
      <c r="I635" s="924">
        <v>9508</v>
      </c>
      <c r="J635" s="924">
        <v>9279</v>
      </c>
      <c r="K635" s="265">
        <f t="shared" si="1312"/>
        <v>9260</v>
      </c>
      <c r="L635" s="1032">
        <v>9260</v>
      </c>
      <c r="M635" s="924">
        <v>9142</v>
      </c>
      <c r="N635" s="924">
        <v>8965</v>
      </c>
      <c r="O635" s="924">
        <v>8949</v>
      </c>
      <c r="P635" s="265">
        <f t="shared" si="1313"/>
        <v>8910</v>
      </c>
      <c r="Q635" s="1032">
        <v>8910</v>
      </c>
      <c r="R635" s="924">
        <v>8803</v>
      </c>
      <c r="S635" s="924">
        <v>8603</v>
      </c>
      <c r="T635" s="924">
        <v>8665</v>
      </c>
      <c r="U635" s="265">
        <f t="shared" si="1314"/>
        <v>8287</v>
      </c>
      <c r="V635" s="1032">
        <v>8287</v>
      </c>
      <c r="W635" s="924">
        <v>8199</v>
      </c>
      <c r="X635" s="924">
        <v>8150</v>
      </c>
      <c r="Y635" s="924">
        <v>8345</v>
      </c>
      <c r="Z635" s="265">
        <f t="shared" si="1315"/>
        <v>8309</v>
      </c>
      <c r="AA635" s="1032">
        <v>8309</v>
      </c>
      <c r="AB635" s="924">
        <v>8298</v>
      </c>
      <c r="AC635" s="924">
        <v>8258</v>
      </c>
      <c r="AD635" s="924">
        <v>8314</v>
      </c>
      <c r="AE635" s="265">
        <f t="shared" si="1316"/>
        <v>8370</v>
      </c>
      <c r="AF635" s="1032">
        <v>8370</v>
      </c>
      <c r="AG635" s="924">
        <v>8281</v>
      </c>
      <c r="AH635" s="924">
        <v>8234</v>
      </c>
      <c r="AI635" s="924">
        <v>8162</v>
      </c>
      <c r="AJ635" s="265">
        <f t="shared" si="1317"/>
        <v>8235</v>
      </c>
      <c r="AK635" s="1032">
        <v>8235</v>
      </c>
      <c r="AL635" s="924">
        <v>8152</v>
      </c>
      <c r="AM635" s="924">
        <v>8093</v>
      </c>
      <c r="AN635" s="924">
        <v>8317</v>
      </c>
      <c r="AO635" s="265">
        <f t="shared" si="1318"/>
        <v>8350</v>
      </c>
      <c r="AP635" s="1032">
        <v>8350</v>
      </c>
      <c r="AQ635" s="924">
        <v>8345</v>
      </c>
      <c r="AR635" s="924">
        <v>8209</v>
      </c>
      <c r="AS635" s="924">
        <v>8329</v>
      </c>
      <c r="AT635" s="265">
        <f t="shared" si="1319"/>
        <v>8452</v>
      </c>
      <c r="AU635" s="1032">
        <v>8452</v>
      </c>
      <c r="AV635" s="924">
        <v>8734</v>
      </c>
      <c r="AW635" s="924">
        <v>8509</v>
      </c>
      <c r="AX635" s="924">
        <v>8202</v>
      </c>
      <c r="AY635" s="265">
        <f t="shared" si="1320"/>
        <v>8063</v>
      </c>
      <c r="AZ635" s="1032">
        <v>8063</v>
      </c>
      <c r="BA635" s="924">
        <v>8091</v>
      </c>
      <c r="BB635" s="924">
        <v>8121</v>
      </c>
      <c r="BC635" s="924">
        <v>8267</v>
      </c>
      <c r="BD635" s="265">
        <f t="shared" si="1321"/>
        <v>8143</v>
      </c>
      <c r="BE635" s="1032">
        <v>8143</v>
      </c>
      <c r="BF635" s="924">
        <v>8100</v>
      </c>
      <c r="BG635" s="924">
        <v>8132</v>
      </c>
      <c r="BH635" s="925">
        <v>8075</v>
      </c>
      <c r="BI635" s="210">
        <f>BH635-BI579</f>
        <v>8123.3747009327308</v>
      </c>
      <c r="BJ635" s="994">
        <f t="shared" si="1324" ref="BJ635:BJ642">BI635</f>
        <v>8123.3747009327308</v>
      </c>
      <c r="BK635" s="210">
        <f>BJ635-BK579</f>
        <v>8177.1006152511009</v>
      </c>
      <c r="BL635" s="210">
        <f>BK635-BL579</f>
        <v>8234.6781847226357</v>
      </c>
      <c r="BM635" s="210">
        <f>BL635-BM579</f>
        <v>8291.7140222609341</v>
      </c>
      <c r="BN635" s="210">
        <f>BM635-BN579</f>
        <v>8341.7831995496617</v>
      </c>
      <c r="BO635" s="994">
        <f t="shared" si="1325" ref="BO635:BO642">BN635</f>
        <v>8341.7831995496617</v>
      </c>
      <c r="BP635" s="994">
        <f>BO635-BP579</f>
        <v>8627.543528365064</v>
      </c>
      <c r="BQ635" s="994">
        <f>BP635-BQ579</f>
        <v>8915.5246611296534</v>
      </c>
      <c r="BR635" s="994">
        <f>BQ635-BR579</f>
        <v>9214.9648223949553</v>
      </c>
      <c r="BS635" s="833"/>
    </row>
    <row r="636" spans="1:71" s="24" customFormat="1" ht="15">
      <c r="A636" s="263" t="s">
        <v>199</v>
      </c>
      <c r="B636" s="462"/>
      <c r="C636" s="1032">
        <v>916</v>
      </c>
      <c r="D636" s="1032">
        <v>813</v>
      </c>
      <c r="E636" s="1032">
        <v>828</v>
      </c>
      <c r="F636" s="1032">
        <v>856</v>
      </c>
      <c r="G636" s="1032">
        <v>801</v>
      </c>
      <c r="H636" s="924">
        <v>851</v>
      </c>
      <c r="I636" s="924">
        <v>762</v>
      </c>
      <c r="J636" s="924">
        <v>848</v>
      </c>
      <c r="K636" s="265">
        <f t="shared" si="1312"/>
        <v>678</v>
      </c>
      <c r="L636" s="1032">
        <v>678</v>
      </c>
      <c r="M636" s="924">
        <v>830</v>
      </c>
      <c r="N636" s="924">
        <v>782</v>
      </c>
      <c r="O636" s="924">
        <v>789</v>
      </c>
      <c r="P636" s="265">
        <f t="shared" si="1313"/>
        <v>656</v>
      </c>
      <c r="Q636" s="1032">
        <v>656</v>
      </c>
      <c r="R636" s="924">
        <v>805</v>
      </c>
      <c r="S636" s="924">
        <v>726</v>
      </c>
      <c r="T636" s="924">
        <v>741</v>
      </c>
      <c r="U636" s="265">
        <f t="shared" si="1314"/>
        <v>589</v>
      </c>
      <c r="V636" s="1032">
        <v>589</v>
      </c>
      <c r="W636" s="924">
        <v>745</v>
      </c>
      <c r="X636" s="924">
        <v>665</v>
      </c>
      <c r="Y636" s="924">
        <v>688</v>
      </c>
      <c r="Z636" s="265">
        <f t="shared" si="1315"/>
        <v>551</v>
      </c>
      <c r="AA636" s="1032">
        <v>551</v>
      </c>
      <c r="AB636" s="924">
        <v>777</v>
      </c>
      <c r="AC636" s="924">
        <v>698</v>
      </c>
      <c r="AD636" s="924">
        <v>715</v>
      </c>
      <c r="AE636" s="265">
        <f t="shared" si="1316"/>
        <v>578</v>
      </c>
      <c r="AF636" s="1032">
        <v>578</v>
      </c>
      <c r="AG636" s="924">
        <v>935</v>
      </c>
      <c r="AH636" s="924">
        <v>864</v>
      </c>
      <c r="AI636" s="924">
        <v>857</v>
      </c>
      <c r="AJ636" s="265">
        <f t="shared" si="1317"/>
        <v>689</v>
      </c>
      <c r="AK636" s="1032">
        <v>689</v>
      </c>
      <c r="AL636" s="924">
        <v>1030</v>
      </c>
      <c r="AM636" s="924">
        <v>945</v>
      </c>
      <c r="AN636" s="924">
        <v>902</v>
      </c>
      <c r="AO636" s="265">
        <f t="shared" si="1318"/>
        <v>772</v>
      </c>
      <c r="AP636" s="1032">
        <v>772</v>
      </c>
      <c r="AQ636" s="924">
        <v>1165</v>
      </c>
      <c r="AR636" s="924">
        <v>1080</v>
      </c>
      <c r="AS636" s="924">
        <v>1084</v>
      </c>
      <c r="AT636" s="265">
        <f t="shared" si="1319"/>
        <v>902</v>
      </c>
      <c r="AU636" s="1032">
        <v>902</v>
      </c>
      <c r="AV636" s="924">
        <v>1266</v>
      </c>
      <c r="AW636" s="924">
        <v>1196</v>
      </c>
      <c r="AX636" s="924">
        <v>1199</v>
      </c>
      <c r="AY636" s="265">
        <f t="shared" si="1320"/>
        <v>1024</v>
      </c>
      <c r="AZ636" s="1032">
        <v>1024</v>
      </c>
      <c r="BA636" s="924">
        <v>1360</v>
      </c>
      <c r="BB636" s="924">
        <v>1302</v>
      </c>
      <c r="BC636" s="924">
        <v>1389</v>
      </c>
      <c r="BD636" s="265">
        <f t="shared" si="1321"/>
        <v>1150</v>
      </c>
      <c r="BE636" s="1032">
        <v>1150</v>
      </c>
      <c r="BF636" s="924">
        <v>1535</v>
      </c>
      <c r="BG636" s="924">
        <v>1445</v>
      </c>
      <c r="BH636" s="925">
        <v>1502</v>
      </c>
      <c r="BI636" s="210">
        <f>BH636-BI583</f>
        <v>1510.995306</v>
      </c>
      <c r="BJ636" s="994">
        <f t="shared" si="1324"/>
        <v>1510.995306</v>
      </c>
      <c r="BK636" s="210">
        <f>BJ636-BK583</f>
        <v>1527.7875320000001</v>
      </c>
      <c r="BL636" s="210">
        <f>BK636-BL583</f>
        <v>1537.731168</v>
      </c>
      <c r="BM636" s="210">
        <f>BL636-BM583</f>
        <v>1547.8816380000001</v>
      </c>
      <c r="BN636" s="210">
        <f>BM636-BN583</f>
        <v>1557.1722500000001</v>
      </c>
      <c r="BO636" s="994">
        <f t="shared" si="1325"/>
        <v>1557.1722500000001</v>
      </c>
      <c r="BP636" s="994">
        <f>BO636-BP583</f>
        <v>1642.2779190000001</v>
      </c>
      <c r="BQ636" s="994">
        <f>BP636-BQ583</f>
        <v>1729.832701</v>
      </c>
      <c r="BR636" s="994">
        <f>BQ636-BR583</f>
        <v>1819.9343690000001</v>
      </c>
      <c r="BS636" s="833"/>
    </row>
    <row r="637" spans="1:71" s="24" customFormat="1" ht="15">
      <c r="A637" s="263" t="s">
        <v>196</v>
      </c>
      <c r="B637" s="462"/>
      <c r="C637" s="1032">
        <v>1758</v>
      </c>
      <c r="D637" s="1032">
        <v>1782</v>
      </c>
      <c r="E637" s="1032">
        <v>1786</v>
      </c>
      <c r="F637" s="1032">
        <v>1792</v>
      </c>
      <c r="G637" s="1032">
        <v>1804</v>
      </c>
      <c r="H637" s="924">
        <v>1836</v>
      </c>
      <c r="I637" s="924">
        <v>1879</v>
      </c>
      <c r="J637" s="924">
        <v>1890</v>
      </c>
      <c r="K637" s="265">
        <f t="shared" si="1312"/>
        <v>1835</v>
      </c>
      <c r="L637" s="1032">
        <v>1835</v>
      </c>
      <c r="M637" s="924">
        <v>1847</v>
      </c>
      <c r="N637" s="924">
        <v>1891</v>
      </c>
      <c r="O637" s="924">
        <v>1904</v>
      </c>
      <c r="P637" s="265">
        <f t="shared" si="1313"/>
        <v>1849</v>
      </c>
      <c r="Q637" s="1032">
        <v>1849</v>
      </c>
      <c r="R637" s="924">
        <v>1899</v>
      </c>
      <c r="S637" s="924">
        <v>1954</v>
      </c>
      <c r="T637" s="924">
        <v>1975</v>
      </c>
      <c r="U637" s="265">
        <f t="shared" si="1314"/>
        <v>1923</v>
      </c>
      <c r="V637" s="1032">
        <v>1923</v>
      </c>
      <c r="W637" s="924">
        <v>1987</v>
      </c>
      <c r="X637" s="924">
        <v>2051</v>
      </c>
      <c r="Y637" s="924">
        <v>2077</v>
      </c>
      <c r="Z637" s="265">
        <f t="shared" si="1315"/>
        <v>2025</v>
      </c>
      <c r="AA637" s="1032">
        <v>2025</v>
      </c>
      <c r="AB637" s="924">
        <v>2086</v>
      </c>
      <c r="AC637" s="924">
        <v>2161</v>
      </c>
      <c r="AD637" s="924">
        <v>2186</v>
      </c>
      <c r="AE637" s="265">
        <f t="shared" si="1316"/>
        <v>2120</v>
      </c>
      <c r="AF637" s="1032">
        <v>2120</v>
      </c>
      <c r="AG637" s="924">
        <v>2190</v>
      </c>
      <c r="AH637" s="924">
        <v>2281</v>
      </c>
      <c r="AI637" s="924">
        <v>2321</v>
      </c>
      <c r="AJ637" s="265">
        <f t="shared" si="1317"/>
        <v>2273</v>
      </c>
      <c r="AK637" s="1032">
        <v>2273</v>
      </c>
      <c r="AL637" s="924">
        <v>2298</v>
      </c>
      <c r="AM637" s="924">
        <v>2367</v>
      </c>
      <c r="AN637" s="924">
        <v>2406</v>
      </c>
      <c r="AO637" s="265">
        <f t="shared" si="1318"/>
        <v>2358</v>
      </c>
      <c r="AP637" s="1032">
        <v>2358</v>
      </c>
      <c r="AQ637" s="924">
        <v>2411</v>
      </c>
      <c r="AR637" s="924">
        <v>2501</v>
      </c>
      <c r="AS637" s="924">
        <v>2570</v>
      </c>
      <c r="AT637" s="265">
        <f t="shared" si="1319"/>
        <v>2542</v>
      </c>
      <c r="AU637" s="1032">
        <v>2542</v>
      </c>
      <c r="AV637" s="924">
        <v>2645</v>
      </c>
      <c r="AW637" s="924">
        <v>2776</v>
      </c>
      <c r="AX637" s="924">
        <v>2858</v>
      </c>
      <c r="AY637" s="265">
        <f t="shared" si="1320"/>
        <v>2836</v>
      </c>
      <c r="AZ637" s="1032">
        <v>2836</v>
      </c>
      <c r="BA637" s="924">
        <v>3005</v>
      </c>
      <c r="BB637" s="924">
        <v>3212</v>
      </c>
      <c r="BC637" s="924">
        <v>3330</v>
      </c>
      <c r="BD637" s="265">
        <f t="shared" si="1321"/>
        <v>3306</v>
      </c>
      <c r="BE637" s="1032">
        <v>3306</v>
      </c>
      <c r="BF637" s="924">
        <v>3380</v>
      </c>
      <c r="BG637" s="924">
        <v>3508</v>
      </c>
      <c r="BH637" s="925">
        <v>3579</v>
      </c>
      <c r="BI637" s="210">
        <f>BH637-BI575-BI580</f>
        <v>3677.3920647599998</v>
      </c>
      <c r="BJ637" s="994">
        <f t="shared" si="1324"/>
        <v>3677.3920647599998</v>
      </c>
      <c r="BK637" s="210">
        <f>BJ637-BK575-BK580</f>
        <v>3737.9952524719997</v>
      </c>
      <c r="BL637" s="210">
        <f>BK637-BL575-BL580</f>
        <v>3773.2210424230002</v>
      </c>
      <c r="BM637" s="210">
        <f>BL637-BM575-BM580</f>
        <v>3809.7216153560003</v>
      </c>
      <c r="BN637" s="210">
        <f>BM637-BN575-BN580</f>
        <v>3913.1227802648</v>
      </c>
      <c r="BO637" s="994">
        <f t="shared" si="1325"/>
        <v>3913.1227802648</v>
      </c>
      <c r="BP637" s="994">
        <f>BO637-BP575-BP580</f>
        <v>4235.2511696476158</v>
      </c>
      <c r="BQ637" s="994">
        <f>BP637-BQ575-BQ580</f>
        <v>4877.8140542441151</v>
      </c>
      <c r="BR637" s="994">
        <f>BQ637-BR575-BR580</f>
        <v>5228.1157881538147</v>
      </c>
      <c r="BS637" s="833"/>
    </row>
    <row r="638" spans="1:71" s="24" customFormat="1" ht="15">
      <c r="A638" s="263" t="s">
        <v>241</v>
      </c>
      <c r="B638" s="462"/>
      <c r="C638" s="1032">
        <v>672</v>
      </c>
      <c r="D638" s="1032">
        <v>493</v>
      </c>
      <c r="E638" s="1032">
        <v>7</v>
      </c>
      <c r="F638" s="1032">
        <v>0</v>
      </c>
      <c r="G638" s="1032">
        <v>303</v>
      </c>
      <c r="H638" s="924">
        <v>0</v>
      </c>
      <c r="I638" s="924">
        <v>0</v>
      </c>
      <c r="J638" s="924">
        <v>0</v>
      </c>
      <c r="K638" s="265">
        <f t="shared" si="1312"/>
        <v>33</v>
      </c>
      <c r="L638" s="1032">
        <v>33</v>
      </c>
      <c r="M638" s="924">
        <v>0</v>
      </c>
      <c r="N638" s="924">
        <v>216</v>
      </c>
      <c r="O638" s="924">
        <v>241</v>
      </c>
      <c r="P638" s="265">
        <f t="shared" si="1313"/>
        <v>296</v>
      </c>
      <c r="Q638" s="1032">
        <v>296</v>
      </c>
      <c r="R638" s="924">
        <v>0</v>
      </c>
      <c r="S638" s="924">
        <v>0</v>
      </c>
      <c r="T638" s="924">
        <v>0</v>
      </c>
      <c r="U638" s="265">
        <f t="shared" si="1314"/>
        <v>465</v>
      </c>
      <c r="V638" s="1032">
        <v>465</v>
      </c>
      <c r="W638" s="924">
        <v>261</v>
      </c>
      <c r="X638" s="924">
        <v>201</v>
      </c>
      <c r="Y638" s="924">
        <v>243</v>
      </c>
      <c r="Z638" s="265">
        <f t="shared" si="1315"/>
        <v>70</v>
      </c>
      <c r="AA638" s="1032">
        <v>70</v>
      </c>
      <c r="AB638" s="924">
        <v>368</v>
      </c>
      <c r="AC638" s="924">
        <v>463</v>
      </c>
      <c r="AD638" s="924">
        <v>521</v>
      </c>
      <c r="AE638" s="265">
        <f t="shared" si="1316"/>
        <v>445</v>
      </c>
      <c r="AF638" s="1032">
        <v>445</v>
      </c>
      <c r="AG638" s="924">
        <v>115</v>
      </c>
      <c r="AH638" s="210"/>
      <c r="AI638" s="210"/>
      <c r="AJ638" s="265">
        <f t="shared" si="1317"/>
        <v>0</v>
      </c>
      <c r="AK638" s="1032">
        <v>0</v>
      </c>
      <c r="AL638" s="924">
        <v>9</v>
      </c>
      <c r="AM638" s="210"/>
      <c r="AN638" s="210"/>
      <c r="AO638" s="265">
        <f t="shared" si="1318"/>
        <v>0</v>
      </c>
      <c r="AP638" s="994"/>
      <c r="AQ638" s="210"/>
      <c r="AR638" s="210"/>
      <c r="AS638" s="210"/>
      <c r="AT638" s="265">
        <f t="shared" si="1319"/>
        <v>0</v>
      </c>
      <c r="AU638" s="994"/>
      <c r="AV638" s="924">
        <v>662</v>
      </c>
      <c r="AW638" s="924">
        <v>1374</v>
      </c>
      <c r="AX638" s="924">
        <v>2175</v>
      </c>
      <c r="AY638" s="265">
        <f t="shared" si="1320"/>
        <v>1877</v>
      </c>
      <c r="AZ638" s="1032">
        <v>1877</v>
      </c>
      <c r="BA638" s="924">
        <v>1568</v>
      </c>
      <c r="BB638" s="924">
        <v>1846</v>
      </c>
      <c r="BC638" s="924">
        <v>2393</v>
      </c>
      <c r="BD638" s="265">
        <f t="shared" si="1321"/>
        <v>1504</v>
      </c>
      <c r="BE638" s="1032">
        <v>1504</v>
      </c>
      <c r="BF638" s="924">
        <v>1639</v>
      </c>
      <c r="BG638" s="924">
        <v>1788</v>
      </c>
      <c r="BH638" s="925">
        <v>1336</v>
      </c>
      <c r="BI638" s="210">
        <f t="shared" si="1326" ref="BI638:BI642">BH638</f>
        <v>1336</v>
      </c>
      <c r="BJ638" s="994">
        <f t="shared" si="1324"/>
        <v>1336</v>
      </c>
      <c r="BK638" s="210">
        <f t="shared" si="1327" ref="BK638:BN642">BJ638</f>
        <v>1336</v>
      </c>
      <c r="BL638" s="210">
        <f t="shared" si="1327"/>
        <v>1336</v>
      </c>
      <c r="BM638" s="210">
        <f t="shared" si="1327"/>
        <v>1336</v>
      </c>
      <c r="BN638" s="210">
        <f t="shared" si="1327"/>
        <v>1336</v>
      </c>
      <c r="BO638" s="994">
        <f t="shared" si="1325"/>
        <v>1336</v>
      </c>
      <c r="BP638" s="994">
        <f t="shared" si="1328" ref="BP638:BR642">BO638</f>
        <v>1336</v>
      </c>
      <c r="BQ638" s="994">
        <f t="shared" si="1328"/>
        <v>1336</v>
      </c>
      <c r="BR638" s="994">
        <f t="shared" si="1328"/>
        <v>1336</v>
      </c>
      <c r="BS638" s="833"/>
    </row>
    <row r="639" spans="1:71" s="24" customFormat="1" ht="15">
      <c r="A639" s="263" t="s">
        <v>242</v>
      </c>
      <c r="B639" s="462"/>
      <c r="C639" s="1032">
        <v>5797</v>
      </c>
      <c r="D639" s="1032">
        <v>5343</v>
      </c>
      <c r="E639" s="1032">
        <v>5186</v>
      </c>
      <c r="F639" s="1032">
        <v>4806</v>
      </c>
      <c r="G639" s="1032">
        <v>4328</v>
      </c>
      <c r="H639" s="924">
        <v>4361</v>
      </c>
      <c r="I639" s="924">
        <v>4371</v>
      </c>
      <c r="J639" s="924">
        <v>4367</v>
      </c>
      <c r="K639" s="265">
        <f t="shared" si="1312"/>
        <v>4362</v>
      </c>
      <c r="L639" s="1032">
        <v>4362</v>
      </c>
      <c r="M639" s="924">
        <v>4396</v>
      </c>
      <c r="N639" s="924">
        <v>4473</v>
      </c>
      <c r="O639" s="924">
        <v>4390</v>
      </c>
      <c r="P639" s="265">
        <f t="shared" si="1313"/>
        <v>4374</v>
      </c>
      <c r="Q639" s="1032">
        <v>4374</v>
      </c>
      <c r="R639" s="924">
        <v>4419</v>
      </c>
      <c r="S639" s="924">
        <v>4541</v>
      </c>
      <c r="T639" s="924">
        <v>4580</v>
      </c>
      <c r="U639" s="265">
        <f t="shared" si="1314"/>
        <v>4609</v>
      </c>
      <c r="V639" s="1032">
        <v>4609</v>
      </c>
      <c r="W639" s="924">
        <v>4668</v>
      </c>
      <c r="X639" s="924">
        <v>4700</v>
      </c>
      <c r="Y639" s="924">
        <v>4757</v>
      </c>
      <c r="Z639" s="265">
        <f t="shared" si="1315"/>
        <v>4775</v>
      </c>
      <c r="AA639" s="1032">
        <v>4775</v>
      </c>
      <c r="AB639" s="924">
        <v>4835</v>
      </c>
      <c r="AC639" s="924">
        <v>4830</v>
      </c>
      <c r="AD639" s="924">
        <v>4887</v>
      </c>
      <c r="AE639" s="265">
        <f t="shared" si="1316"/>
        <v>4785</v>
      </c>
      <c r="AF639" s="1032">
        <v>4785</v>
      </c>
      <c r="AG639" s="924">
        <v>4811</v>
      </c>
      <c r="AH639" s="924">
        <v>4776</v>
      </c>
      <c r="AI639" s="924">
        <v>4802</v>
      </c>
      <c r="AJ639" s="265">
        <f t="shared" si="1317"/>
        <v>4619</v>
      </c>
      <c r="AK639" s="1032">
        <v>4619</v>
      </c>
      <c r="AL639" s="924">
        <v>4634</v>
      </c>
      <c r="AM639" s="924">
        <v>4314</v>
      </c>
      <c r="AN639" s="924">
        <v>4347</v>
      </c>
      <c r="AO639" s="265">
        <f t="shared" si="1318"/>
        <v>4242</v>
      </c>
      <c r="AP639" s="1032">
        <v>4242</v>
      </c>
      <c r="AQ639" s="924">
        <v>4271</v>
      </c>
      <c r="AR639" s="924">
        <v>4016</v>
      </c>
      <c r="AS639" s="924">
        <v>4024</v>
      </c>
      <c r="AT639" s="265">
        <f t="shared" si="1319"/>
        <v>3890</v>
      </c>
      <c r="AU639" s="1032">
        <v>3890</v>
      </c>
      <c r="AV639" s="924">
        <v>3901</v>
      </c>
      <c r="AW639" s="924">
        <v>3735</v>
      </c>
      <c r="AX639" s="924">
        <v>3749</v>
      </c>
      <c r="AY639" s="265">
        <f t="shared" si="1320"/>
        <v>3579</v>
      </c>
      <c r="AZ639" s="1032">
        <v>3579</v>
      </c>
      <c r="BA639" s="924">
        <v>3598</v>
      </c>
      <c r="BB639" s="924">
        <v>3449</v>
      </c>
      <c r="BC639" s="924">
        <v>3467</v>
      </c>
      <c r="BD639" s="265">
        <f t="shared" si="1321"/>
        <v>3249</v>
      </c>
      <c r="BE639" s="1032">
        <v>3249</v>
      </c>
      <c r="BF639" s="924">
        <v>3266</v>
      </c>
      <c r="BG639" s="924">
        <v>3274</v>
      </c>
      <c r="BH639" s="925">
        <v>3292</v>
      </c>
      <c r="BI639" s="210">
        <f t="shared" si="1326"/>
        <v>3292</v>
      </c>
      <c r="BJ639" s="994">
        <f t="shared" si="1324"/>
        <v>3292</v>
      </c>
      <c r="BK639" s="210">
        <f t="shared" si="1327"/>
        <v>3292</v>
      </c>
      <c r="BL639" s="210">
        <f t="shared" si="1327"/>
        <v>3292</v>
      </c>
      <c r="BM639" s="210">
        <f t="shared" si="1327"/>
        <v>3292</v>
      </c>
      <c r="BN639" s="210">
        <f t="shared" si="1327"/>
        <v>3292</v>
      </c>
      <c r="BO639" s="994">
        <f t="shared" si="1325"/>
        <v>3292</v>
      </c>
      <c r="BP639" s="994">
        <f t="shared" si="1328"/>
        <v>3292</v>
      </c>
      <c r="BQ639" s="994">
        <f t="shared" si="1328"/>
        <v>3292</v>
      </c>
      <c r="BR639" s="994">
        <f t="shared" si="1328"/>
        <v>3292</v>
      </c>
      <c r="BS639" s="833"/>
    </row>
    <row r="640" spans="1:71" s="24" customFormat="1" ht="15">
      <c r="A640" s="263" t="s">
        <v>243</v>
      </c>
      <c r="B640" s="462"/>
      <c r="C640" s="1032">
        <v>3365</v>
      </c>
      <c r="D640" s="1032">
        <v>3365</v>
      </c>
      <c r="E640" s="1032">
        <v>3365</v>
      </c>
      <c r="F640" s="1032">
        <v>3365</v>
      </c>
      <c r="G640" s="1032">
        <v>3634</v>
      </c>
      <c r="H640" s="924">
        <v>3624</v>
      </c>
      <c r="I640" s="924">
        <v>3634</v>
      </c>
      <c r="J640" s="924">
        <v>3621</v>
      </c>
      <c r="K640" s="265">
        <f t="shared" si="1312"/>
        <v>3611</v>
      </c>
      <c r="L640" s="1032">
        <v>3611</v>
      </c>
      <c r="M640" s="924">
        <v>3590</v>
      </c>
      <c r="N640" s="924">
        <v>3594</v>
      </c>
      <c r="O640" s="924">
        <v>3579</v>
      </c>
      <c r="P640" s="265">
        <f t="shared" si="1313"/>
        <v>3573</v>
      </c>
      <c r="Q640" s="1032">
        <v>3573</v>
      </c>
      <c r="R640" s="924">
        <v>3588</v>
      </c>
      <c r="S640" s="924">
        <v>3588</v>
      </c>
      <c r="T640" s="924">
        <v>3585</v>
      </c>
      <c r="U640" s="265">
        <f t="shared" si="1314"/>
        <v>3580</v>
      </c>
      <c r="V640" s="1032">
        <v>3580</v>
      </c>
      <c r="W640" s="924">
        <v>3584</v>
      </c>
      <c r="X640" s="924">
        <v>3589</v>
      </c>
      <c r="Y640" s="924">
        <v>3946</v>
      </c>
      <c r="Z640" s="265">
        <f t="shared" si="1315"/>
        <v>3951</v>
      </c>
      <c r="AA640" s="1032">
        <v>3951</v>
      </c>
      <c r="AB640" s="924">
        <v>3959</v>
      </c>
      <c r="AC640" s="924">
        <v>3931</v>
      </c>
      <c r="AD640" s="924">
        <v>3958</v>
      </c>
      <c r="AE640" s="265">
        <f t="shared" si="1316"/>
        <v>3937</v>
      </c>
      <c r="AF640" s="1032">
        <v>3937</v>
      </c>
      <c r="AG640" s="924">
        <v>3949</v>
      </c>
      <c r="AH640" s="924">
        <v>3943</v>
      </c>
      <c r="AI640" s="924">
        <v>3929</v>
      </c>
      <c r="AJ640" s="265">
        <f t="shared" si="1317"/>
        <v>3961</v>
      </c>
      <c r="AK640" s="1032">
        <v>3961</v>
      </c>
      <c r="AL640" s="924">
        <v>3915</v>
      </c>
      <c r="AM640" s="924">
        <v>3925</v>
      </c>
      <c r="AN640" s="924">
        <v>3945</v>
      </c>
      <c r="AO640" s="265">
        <f t="shared" si="1318"/>
        <v>3976</v>
      </c>
      <c r="AP640" s="1032">
        <v>3976</v>
      </c>
      <c r="AQ640" s="924">
        <v>4017</v>
      </c>
      <c r="AR640" s="924">
        <v>4020</v>
      </c>
      <c r="AS640" s="924">
        <v>4005</v>
      </c>
      <c r="AT640" s="265">
        <f t="shared" si="1319"/>
        <v>4008</v>
      </c>
      <c r="AU640" s="1032">
        <v>4008</v>
      </c>
      <c r="AV640" s="924">
        <v>4001</v>
      </c>
      <c r="AW640" s="924">
        <v>3967</v>
      </c>
      <c r="AX640" s="924">
        <v>3922</v>
      </c>
      <c r="AY640" s="265">
        <f t="shared" si="1320"/>
        <v>3952</v>
      </c>
      <c r="AZ640" s="1032">
        <v>3952</v>
      </c>
      <c r="BA640" s="924">
        <v>3959</v>
      </c>
      <c r="BB640" s="924">
        <v>3975</v>
      </c>
      <c r="BC640" s="924">
        <v>3955</v>
      </c>
      <c r="BD640" s="265">
        <f t="shared" si="1321"/>
        <v>3976</v>
      </c>
      <c r="BE640" s="1032">
        <v>3976</v>
      </c>
      <c r="BF640" s="924">
        <v>4251</v>
      </c>
      <c r="BG640" s="924">
        <v>4250</v>
      </c>
      <c r="BH640" s="925">
        <v>4273</v>
      </c>
      <c r="BI640" s="210">
        <f t="shared" si="1326"/>
        <v>4273</v>
      </c>
      <c r="BJ640" s="994">
        <f t="shared" si="1324"/>
        <v>4273</v>
      </c>
      <c r="BK640" s="210">
        <f t="shared" si="1327"/>
        <v>4273</v>
      </c>
      <c r="BL640" s="210">
        <f t="shared" si="1327"/>
        <v>4273</v>
      </c>
      <c r="BM640" s="210">
        <f t="shared" si="1327"/>
        <v>4273</v>
      </c>
      <c r="BN640" s="210">
        <f t="shared" si="1327"/>
        <v>4273</v>
      </c>
      <c r="BO640" s="994">
        <f t="shared" si="1325"/>
        <v>4273</v>
      </c>
      <c r="BP640" s="994">
        <f t="shared" si="1328"/>
        <v>4273</v>
      </c>
      <c r="BQ640" s="994">
        <f t="shared" si="1328"/>
        <v>4273</v>
      </c>
      <c r="BR640" s="994">
        <f t="shared" si="1328"/>
        <v>4273</v>
      </c>
      <c r="BS640" s="833"/>
    </row>
    <row r="641" spans="1:71" s="24" customFormat="1" ht="15">
      <c r="A641" s="263" t="s">
        <v>244</v>
      </c>
      <c r="B641" s="462"/>
      <c r="C641" s="1032">
        <v>588</v>
      </c>
      <c r="D641" s="1032">
        <v>502</v>
      </c>
      <c r="E641" s="1032">
        <v>433</v>
      </c>
      <c r="F641" s="1032">
        <v>381</v>
      </c>
      <c r="G641" s="1032">
        <v>351</v>
      </c>
      <c r="H641" s="924">
        <v>339</v>
      </c>
      <c r="I641" s="924">
        <v>328</v>
      </c>
      <c r="J641" s="924">
        <v>316</v>
      </c>
      <c r="K641" s="265">
        <f t="shared" si="1312"/>
        <v>304</v>
      </c>
      <c r="L641" s="1032">
        <v>304</v>
      </c>
      <c r="M641" s="924">
        <v>292</v>
      </c>
      <c r="N641" s="924">
        <v>284</v>
      </c>
      <c r="O641" s="924">
        <v>280</v>
      </c>
      <c r="P641" s="265">
        <f t="shared" si="1313"/>
        <v>279</v>
      </c>
      <c r="Q641" s="1032">
        <v>279</v>
      </c>
      <c r="R641" s="924">
        <v>275</v>
      </c>
      <c r="S641" s="924">
        <v>274</v>
      </c>
      <c r="T641" s="924">
        <v>271</v>
      </c>
      <c r="U641" s="265">
        <f t="shared" si="1314"/>
        <v>268</v>
      </c>
      <c r="V641" s="1032">
        <v>268</v>
      </c>
      <c r="W641" s="924">
        <v>266</v>
      </c>
      <c r="X641" s="924">
        <v>264</v>
      </c>
      <c r="Y641" s="924">
        <v>345</v>
      </c>
      <c r="Z641" s="265">
        <f t="shared" si="1315"/>
        <v>342</v>
      </c>
      <c r="AA641" s="1032">
        <v>342</v>
      </c>
      <c r="AB641" s="924">
        <v>341</v>
      </c>
      <c r="AC641" s="924">
        <v>356</v>
      </c>
      <c r="AD641" s="924">
        <v>351</v>
      </c>
      <c r="AE641" s="265">
        <f t="shared" si="1316"/>
        <v>345</v>
      </c>
      <c r="AF641" s="1032">
        <v>345</v>
      </c>
      <c r="AG641" s="924">
        <v>341</v>
      </c>
      <c r="AH641" s="924">
        <v>335</v>
      </c>
      <c r="AI641" s="924">
        <v>329</v>
      </c>
      <c r="AJ641" s="265">
        <f t="shared" si="1317"/>
        <v>330</v>
      </c>
      <c r="AK641" s="1032">
        <v>330</v>
      </c>
      <c r="AL641" s="924">
        <v>322</v>
      </c>
      <c r="AM641" s="924">
        <v>319</v>
      </c>
      <c r="AN641" s="924">
        <v>318</v>
      </c>
      <c r="AO641" s="265">
        <f t="shared" si="1318"/>
        <v>317</v>
      </c>
      <c r="AP641" s="1032">
        <v>317</v>
      </c>
      <c r="AQ641" s="924">
        <v>318</v>
      </c>
      <c r="AR641" s="924">
        <v>314</v>
      </c>
      <c r="AS641" s="924">
        <v>309</v>
      </c>
      <c r="AT641" s="265">
        <f t="shared" si="1319"/>
        <v>306</v>
      </c>
      <c r="AU641" s="1032">
        <v>306</v>
      </c>
      <c r="AV641" s="924">
        <v>301</v>
      </c>
      <c r="AW641" s="924">
        <v>294</v>
      </c>
      <c r="AX641" s="924">
        <v>287</v>
      </c>
      <c r="AY641" s="265">
        <f t="shared" si="1320"/>
        <v>287</v>
      </c>
      <c r="AZ641" s="1032">
        <v>287</v>
      </c>
      <c r="BA641" s="924">
        <v>285</v>
      </c>
      <c r="BB641" s="924">
        <v>283</v>
      </c>
      <c r="BC641" s="924">
        <v>278</v>
      </c>
      <c r="BD641" s="265">
        <f t="shared" si="1321"/>
        <v>277</v>
      </c>
      <c r="BE641" s="1032">
        <v>277</v>
      </c>
      <c r="BF641" s="924">
        <v>376</v>
      </c>
      <c r="BG641" s="924">
        <v>371</v>
      </c>
      <c r="BH641" s="925">
        <v>368</v>
      </c>
      <c r="BI641" s="210">
        <f t="shared" si="1326"/>
        <v>368</v>
      </c>
      <c r="BJ641" s="994">
        <f t="shared" si="1324"/>
        <v>368</v>
      </c>
      <c r="BK641" s="210">
        <f t="shared" si="1327"/>
        <v>368</v>
      </c>
      <c r="BL641" s="210">
        <f t="shared" si="1327"/>
        <v>368</v>
      </c>
      <c r="BM641" s="210">
        <f t="shared" si="1327"/>
        <v>368</v>
      </c>
      <c r="BN641" s="210">
        <f t="shared" si="1327"/>
        <v>368</v>
      </c>
      <c r="BO641" s="994">
        <f t="shared" si="1325"/>
        <v>368</v>
      </c>
      <c r="BP641" s="994">
        <f t="shared" si="1328"/>
        <v>368</v>
      </c>
      <c r="BQ641" s="994">
        <f t="shared" si="1328"/>
        <v>368</v>
      </c>
      <c r="BR641" s="994">
        <f t="shared" si="1328"/>
        <v>368</v>
      </c>
      <c r="BS641" s="833"/>
    </row>
    <row r="642" spans="1:71" s="24" customFormat="1" ht="15">
      <c r="A642" s="60" t="s">
        <v>245</v>
      </c>
      <c r="B642" s="478"/>
      <c r="C642" s="1033">
        <v>2132</v>
      </c>
      <c r="D642" s="1033">
        <v>2154</v>
      </c>
      <c r="E642" s="1033">
        <v>2402</v>
      </c>
      <c r="F642" s="1033">
        <v>2234</v>
      </c>
      <c r="G642" s="1033">
        <v>2565</v>
      </c>
      <c r="H642" s="927">
        <v>2567</v>
      </c>
      <c r="I642" s="927">
        <v>2778</v>
      </c>
      <c r="J642" s="927">
        <v>2542</v>
      </c>
      <c r="K642" s="186">
        <f t="shared" si="1312"/>
        <v>2377</v>
      </c>
      <c r="L642" s="1033">
        <v>2377</v>
      </c>
      <c r="M642" s="927">
        <v>2511</v>
      </c>
      <c r="N642" s="927">
        <v>2493</v>
      </c>
      <c r="O642" s="927">
        <v>2403</v>
      </c>
      <c r="P642" s="186">
        <f t="shared" si="1313"/>
        <v>2318</v>
      </c>
      <c r="Q642" s="1033">
        <v>2318</v>
      </c>
      <c r="R642" s="927">
        <v>2408</v>
      </c>
      <c r="S642" s="927">
        <v>2384</v>
      </c>
      <c r="T642" s="927">
        <v>2366</v>
      </c>
      <c r="U642" s="186">
        <f t="shared" si="1314"/>
        <v>2377</v>
      </c>
      <c r="V642" s="1033">
        <v>2377</v>
      </c>
      <c r="W642" s="927">
        <v>2443</v>
      </c>
      <c r="X642" s="927">
        <v>2443</v>
      </c>
      <c r="Y642" s="927">
        <v>2604</v>
      </c>
      <c r="Z642" s="186">
        <f t="shared" si="1315"/>
        <v>2864</v>
      </c>
      <c r="AA642" s="1033">
        <v>2864</v>
      </c>
      <c r="AB642" s="927">
        <v>2788</v>
      </c>
      <c r="AC642" s="927">
        <v>2854</v>
      </c>
      <c r="AD642" s="927">
        <v>3024</v>
      </c>
      <c r="AE642" s="186">
        <f t="shared" si="1316"/>
        <v>2872</v>
      </c>
      <c r="AF642" s="1033">
        <v>2872</v>
      </c>
      <c r="AG642" s="927">
        <v>3212</v>
      </c>
      <c r="AH642" s="927">
        <v>3315</v>
      </c>
      <c r="AI642" s="927">
        <v>3216</v>
      </c>
      <c r="AJ642" s="186">
        <f t="shared" si="1317"/>
        <v>3110</v>
      </c>
      <c r="AK642" s="1033">
        <v>3110</v>
      </c>
      <c r="AL642" s="927">
        <v>3113</v>
      </c>
      <c r="AM642" s="927">
        <v>3095</v>
      </c>
      <c r="AN642" s="927">
        <v>3226</v>
      </c>
      <c r="AO642" s="186">
        <f t="shared" si="1318"/>
        <v>3173</v>
      </c>
      <c r="AP642" s="1033">
        <v>3173</v>
      </c>
      <c r="AQ642" s="927">
        <v>3219</v>
      </c>
      <c r="AR642" s="927">
        <v>3222</v>
      </c>
      <c r="AS642" s="927">
        <v>3207</v>
      </c>
      <c r="AT642" s="186">
        <f t="shared" si="1319"/>
        <v>3530</v>
      </c>
      <c r="AU642" s="1033">
        <v>3530</v>
      </c>
      <c r="AV642" s="927">
        <v>3503</v>
      </c>
      <c r="AW642" s="927">
        <v>3823</v>
      </c>
      <c r="AX642" s="927">
        <v>3570</v>
      </c>
      <c r="AY642" s="186">
        <f t="shared" si="1320"/>
        <v>3274</v>
      </c>
      <c r="AZ642" s="1033">
        <v>3274</v>
      </c>
      <c r="BA642" s="927">
        <v>3607</v>
      </c>
      <c r="BB642" s="927">
        <v>3831</v>
      </c>
      <c r="BC642" s="927">
        <v>3788</v>
      </c>
      <c r="BD642" s="186">
        <f t="shared" si="1321"/>
        <v>3943</v>
      </c>
      <c r="BE642" s="1033">
        <v>3943</v>
      </c>
      <c r="BF642" s="927">
        <v>4062</v>
      </c>
      <c r="BG642" s="927">
        <v>4126</v>
      </c>
      <c r="BH642" s="928">
        <v>4005</v>
      </c>
      <c r="BI642" s="205">
        <f t="shared" si="1326"/>
        <v>4005</v>
      </c>
      <c r="BJ642" s="996">
        <f t="shared" si="1324"/>
        <v>4005</v>
      </c>
      <c r="BK642" s="205">
        <f t="shared" si="1327"/>
        <v>4005</v>
      </c>
      <c r="BL642" s="205">
        <f t="shared" si="1327"/>
        <v>4005</v>
      </c>
      <c r="BM642" s="205">
        <f t="shared" si="1327"/>
        <v>4005</v>
      </c>
      <c r="BN642" s="205">
        <f t="shared" si="1327"/>
        <v>4005</v>
      </c>
      <c r="BO642" s="996">
        <f t="shared" si="1325"/>
        <v>4005</v>
      </c>
      <c r="BP642" s="996">
        <f t="shared" si="1328"/>
        <v>4005</v>
      </c>
      <c r="BQ642" s="996">
        <f t="shared" si="1328"/>
        <v>4005</v>
      </c>
      <c r="BR642" s="996">
        <f t="shared" si="1328"/>
        <v>4005</v>
      </c>
      <c r="BS642" s="833"/>
    </row>
    <row r="643" spans="1:71" s="181" customFormat="1" ht="15">
      <c r="A643" s="62" t="s">
        <v>246</v>
      </c>
      <c r="B643" s="479"/>
      <c r="C643" s="997">
        <f t="shared" si="1329" ref="C643:AM643">SUM(C631:C642)</f>
        <v>109560</v>
      </c>
      <c r="D643" s="997">
        <f t="shared" si="1329"/>
        <v>105656</v>
      </c>
      <c r="E643" s="997">
        <f t="shared" si="1329"/>
        <v>104575</v>
      </c>
      <c r="F643" s="997">
        <f t="shared" si="1329"/>
        <v>104938</v>
      </c>
      <c r="G643" s="997">
        <f t="shared" si="1329"/>
        <v>103812</v>
      </c>
      <c r="H643" s="193">
        <f t="shared" si="1329"/>
        <v>104134</v>
      </c>
      <c r="I643" s="193">
        <f t="shared" si="1329"/>
        <v>104811</v>
      </c>
      <c r="J643" s="193">
        <f t="shared" si="1329"/>
        <v>104522</v>
      </c>
      <c r="K643" s="193">
        <f t="shared" si="1329"/>
        <v>103078</v>
      </c>
      <c r="L643" s="997">
        <f t="shared" si="1329"/>
        <v>103078</v>
      </c>
      <c r="M643" s="193">
        <f t="shared" si="1329"/>
        <v>102691</v>
      </c>
      <c r="N643" s="193">
        <f t="shared" si="1329"/>
        <v>101664</v>
      </c>
      <c r="O643" s="193">
        <f t="shared" si="1329"/>
        <v>102110</v>
      </c>
      <c r="P643" s="193">
        <f t="shared" si="1329"/>
        <v>100184</v>
      </c>
      <c r="Q643" s="997">
        <f t="shared" si="1329"/>
        <v>100184</v>
      </c>
      <c r="R643" s="193">
        <f t="shared" si="1329"/>
        <v>101680</v>
      </c>
      <c r="S643" s="193">
        <f t="shared" si="1329"/>
        <v>102446</v>
      </c>
      <c r="T643" s="193">
        <f t="shared" si="1329"/>
        <v>102787</v>
      </c>
      <c r="U643" s="193">
        <f t="shared" si="1329"/>
        <v>100245</v>
      </c>
      <c r="V643" s="997">
        <f t="shared" si="1329"/>
        <v>100245</v>
      </c>
      <c r="W643" s="193">
        <f t="shared" si="1329"/>
        <v>101246</v>
      </c>
      <c r="X643" s="193">
        <f t="shared" si="1329"/>
        <v>102669</v>
      </c>
      <c r="Y643" s="193">
        <f t="shared" si="1329"/>
        <v>104311</v>
      </c>
      <c r="Z643" s="193">
        <f t="shared" si="1329"/>
        <v>103483</v>
      </c>
      <c r="AA643" s="997">
        <f t="shared" si="1329"/>
        <v>103483</v>
      </c>
      <c r="AB643" s="193">
        <f t="shared" si="1329"/>
        <v>103676</v>
      </c>
      <c r="AC643" s="193">
        <f t="shared" si="1329"/>
        <v>103523</v>
      </c>
      <c r="AD643" s="193">
        <f t="shared" si="1329"/>
        <v>104390</v>
      </c>
      <c r="AE643" s="193">
        <f t="shared" si="1329"/>
        <v>104233</v>
      </c>
      <c r="AF643" s="997">
        <f t="shared" si="1329"/>
        <v>104233</v>
      </c>
      <c r="AG643" s="193">
        <f t="shared" si="1329"/>
        <v>107246</v>
      </c>
      <c r="AH643" s="193">
        <f t="shared" si="1329"/>
        <v>108572</v>
      </c>
      <c r="AI643" s="193">
        <f t="shared" si="1329"/>
        <v>110241</v>
      </c>
      <c r="AJ643" s="193">
        <f t="shared" si="1329"/>
        <v>110122</v>
      </c>
      <c r="AK643" s="997">
        <f t="shared" si="1329"/>
        <v>110122</v>
      </c>
      <c r="AL643" s="193">
        <f t="shared" si="1329"/>
        <v>109436</v>
      </c>
      <c r="AM643" s="193">
        <f t="shared" si="1329"/>
        <v>113337</v>
      </c>
      <c r="AN643" s="193">
        <f>SUM(AN631:AN642)</f>
        <v>116384</v>
      </c>
      <c r="AO643" s="193">
        <f t="shared" si="1330" ref="AO643:AP643">SUM(AO631:AO642)</f>
        <v>116764</v>
      </c>
      <c r="AP643" s="997">
        <f t="shared" si="1330"/>
        <v>116764</v>
      </c>
      <c r="AQ643" s="193">
        <f t="shared" si="1331" ref="AQ643">SUM(AQ631:AQ642)</f>
        <v>117032</v>
      </c>
      <c r="AR643" s="193">
        <f t="shared" si="1332" ref="AR643:AW643">SUM(AR631:AR642)</f>
        <v>119759</v>
      </c>
      <c r="AS643" s="193">
        <f t="shared" si="1332"/>
        <v>120706</v>
      </c>
      <c r="AT643" s="193">
        <f t="shared" si="1332"/>
        <v>120466</v>
      </c>
      <c r="AU643" s="997">
        <f t="shared" si="1332"/>
        <v>120466</v>
      </c>
      <c r="AV643" s="193">
        <f t="shared" si="1332"/>
        <v>118592</v>
      </c>
      <c r="AW643" s="193">
        <f t="shared" si="1332"/>
        <v>116587</v>
      </c>
      <c r="AX643" s="193">
        <f t="shared" si="1333" ref="AX643:BJ643">SUM(AX631:AX642)</f>
        <v>114317</v>
      </c>
      <c r="AY643" s="193">
        <f t="shared" si="1333"/>
        <v>115717</v>
      </c>
      <c r="AZ643" s="997">
        <f t="shared" si="1333"/>
        <v>115717</v>
      </c>
      <c r="BA643" s="193">
        <f t="shared" si="1334" ref="BA643:BI643">SUM(BA631:BA642)</f>
        <v>118352</v>
      </c>
      <c r="BB643" s="193">
        <f t="shared" si="1334"/>
        <v>120573</v>
      </c>
      <c r="BC643" s="193">
        <f t="shared" si="1334"/>
        <v>121384</v>
      </c>
      <c r="BD643" s="193">
        <f t="shared" si="1334"/>
        <v>125978</v>
      </c>
      <c r="BE643" s="997">
        <f t="shared" si="1334"/>
        <v>125978</v>
      </c>
      <c r="BF643" s="193">
        <f>SUM(BF631:BF642)</f>
        <v>127410</v>
      </c>
      <c r="BG643" s="193">
        <f>SUM(BG631:BG642)</f>
        <v>129315</v>
      </c>
      <c r="BH643" s="747">
        <f>SUM(BH631:BH642)</f>
        <v>134588</v>
      </c>
      <c r="BI643" s="194">
        <f t="shared" ca="1" si="1334"/>
        <v>136961.59909377131</v>
      </c>
      <c r="BJ643" s="998">
        <f t="shared" ca="1" si="1333"/>
        <v>136961.59909377131</v>
      </c>
      <c r="BK643" s="194">
        <f ca="1" t="shared" si="1335" ref="BK643:BR643">SUM(BK631:BK642)</f>
        <v>139454.99853705865</v>
      </c>
      <c r="BL643" s="194">
        <f t="shared" ca="1" si="1335"/>
        <v>141483.0555851268</v>
      </c>
      <c r="BM643" s="194">
        <f t="shared" ca="1" si="1335"/>
        <v>143708.66911685042</v>
      </c>
      <c r="BN643" s="194">
        <f t="shared" ca="1" si="1335"/>
        <v>146202.65504010138</v>
      </c>
      <c r="BO643" s="998">
        <f t="shared" ca="1" si="1335"/>
        <v>146202.65504010138</v>
      </c>
      <c r="BP643" s="998">
        <f t="shared" ca="1" si="1335"/>
        <v>156697.92140305799</v>
      </c>
      <c r="BQ643" s="998">
        <f t="shared" ca="1" si="1335"/>
        <v>167729.37436574843</v>
      </c>
      <c r="BR643" s="998">
        <f t="shared" ca="1" si="1335"/>
        <v>178586.02979498304</v>
      </c>
      <c r="BS643" s="423"/>
    </row>
    <row r="644" spans="1:71" s="181" customFormat="1" ht="15">
      <c r="A644" s="453"/>
      <c r="B644" s="480"/>
      <c r="C644" s="1009"/>
      <c r="D644" s="1009"/>
      <c r="E644" s="1009"/>
      <c r="F644" s="1009"/>
      <c r="G644" s="1009"/>
      <c r="H644" s="199"/>
      <c r="I644" s="199"/>
      <c r="J644" s="199"/>
      <c r="K644" s="199"/>
      <c r="L644" s="1009"/>
      <c r="M644" s="199"/>
      <c r="N644" s="199"/>
      <c r="O644" s="199"/>
      <c r="P644" s="199"/>
      <c r="Q644" s="1009"/>
      <c r="R644" s="199"/>
      <c r="S644" s="199"/>
      <c r="T644" s="199"/>
      <c r="U644" s="199"/>
      <c r="V644" s="1009"/>
      <c r="W644" s="199"/>
      <c r="X644" s="199"/>
      <c r="Y644" s="199"/>
      <c r="Z644" s="199"/>
      <c r="AA644" s="1009"/>
      <c r="AB644" s="199"/>
      <c r="AC644" s="199"/>
      <c r="AD644" s="199"/>
      <c r="AE644" s="199"/>
      <c r="AF644" s="1009"/>
      <c r="AG644" s="199"/>
      <c r="AH644" s="199"/>
      <c r="AI644" s="199"/>
      <c r="AJ644" s="199"/>
      <c r="AK644" s="1009"/>
      <c r="AL644" s="199"/>
      <c r="AM644" s="199"/>
      <c r="AN644" s="199"/>
      <c r="AO644" s="199"/>
      <c r="AP644" s="1009"/>
      <c r="AQ644" s="199"/>
      <c r="AR644" s="199"/>
      <c r="AS644" s="199"/>
      <c r="AT644" s="199"/>
      <c r="AU644" s="1009"/>
      <c r="AV644" s="199"/>
      <c r="AW644" s="199"/>
      <c r="AX644" s="199"/>
      <c r="AY644" s="199"/>
      <c r="AZ644" s="1009"/>
      <c r="BA644" s="199"/>
      <c r="BB644" s="199"/>
      <c r="BC644" s="199"/>
      <c r="BD644" s="199"/>
      <c r="BE644" s="1009"/>
      <c r="BF644" s="199"/>
      <c r="BG644" s="199"/>
      <c r="BH644" s="554"/>
      <c r="BI644" s="199"/>
      <c r="BJ644" s="1009"/>
      <c r="BK644" s="199"/>
      <c r="BL644" s="199"/>
      <c r="BM644" s="199"/>
      <c r="BN644" s="199"/>
      <c r="BO644" s="1009"/>
      <c r="BP644" s="1009"/>
      <c r="BQ644" s="1009"/>
      <c r="BR644" s="1009"/>
      <c r="BS644" s="423"/>
    </row>
    <row r="645" spans="1:71" s="181" customFormat="1" ht="15">
      <c r="A645" s="183" t="s">
        <v>247</v>
      </c>
      <c r="B645" s="480"/>
      <c r="C645" s="1009"/>
      <c r="D645" s="1009"/>
      <c r="E645" s="1009"/>
      <c r="F645" s="1009"/>
      <c r="G645" s="1009"/>
      <c r="H645" s="199"/>
      <c r="I645" s="199"/>
      <c r="J645" s="199"/>
      <c r="K645" s="199"/>
      <c r="L645" s="1009"/>
      <c r="M645" s="199"/>
      <c r="N645" s="199"/>
      <c r="O645" s="199"/>
      <c r="P645" s="199"/>
      <c r="Q645" s="1009"/>
      <c r="R645" s="199"/>
      <c r="S645" s="199"/>
      <c r="T645" s="199"/>
      <c r="U645" s="199"/>
      <c r="V645" s="1009"/>
      <c r="W645" s="199"/>
      <c r="X645" s="199"/>
      <c r="Y645" s="199"/>
      <c r="Z645" s="199"/>
      <c r="AA645" s="1009"/>
      <c r="AB645" s="199"/>
      <c r="AC645" s="199"/>
      <c r="AD645" s="199"/>
      <c r="AE645" s="199"/>
      <c r="AF645" s="1009"/>
      <c r="AG645" s="199"/>
      <c r="AH645" s="199"/>
      <c r="AI645" s="199"/>
      <c r="AJ645" s="199"/>
      <c r="AK645" s="1009"/>
      <c r="AL645" s="199"/>
      <c r="AM645" s="199"/>
      <c r="AN645" s="199"/>
      <c r="AO645" s="199"/>
      <c r="AP645" s="1009"/>
      <c r="AQ645" s="199"/>
      <c r="AR645" s="199"/>
      <c r="AS645" s="199"/>
      <c r="AT645" s="199"/>
      <c r="AU645" s="1009"/>
      <c r="AV645" s="199"/>
      <c r="AW645" s="199"/>
      <c r="AX645" s="199"/>
      <c r="AY645" s="199"/>
      <c r="AZ645" s="1009"/>
      <c r="BA645" s="199"/>
      <c r="BB645" s="199"/>
      <c r="BC645" s="199"/>
      <c r="BD645" s="199"/>
      <c r="BE645" s="1009"/>
      <c r="BF645" s="199"/>
      <c r="BG645" s="199"/>
      <c r="BH645" s="554"/>
      <c r="BI645" s="199"/>
      <c r="BJ645" s="1009"/>
      <c r="BK645" s="199"/>
      <c r="BL645" s="199"/>
      <c r="BM645" s="199"/>
      <c r="BN645" s="199"/>
      <c r="BO645" s="1009"/>
      <c r="BP645" s="1009"/>
      <c r="BQ645" s="1009"/>
      <c r="BR645" s="1009"/>
      <c r="BS645" s="423"/>
    </row>
    <row r="646" spans="1:71" s="24" customFormat="1" ht="15">
      <c r="A646" s="263" t="s">
        <v>197</v>
      </c>
      <c r="B646" s="462"/>
      <c r="C646" s="1032">
        <v>53127</v>
      </c>
      <c r="D646" s="1032">
        <v>51606</v>
      </c>
      <c r="E646" s="1032">
        <v>51392</v>
      </c>
      <c r="F646" s="1032">
        <v>50922</v>
      </c>
      <c r="G646" s="1032">
        <v>50895</v>
      </c>
      <c r="H646" s="924">
        <v>50588</v>
      </c>
      <c r="I646" s="924">
        <v>50856</v>
      </c>
      <c r="J646" s="924">
        <v>50402</v>
      </c>
      <c r="K646" s="265">
        <f t="shared" si="1336" ref="K646:K652">L646</f>
        <v>49850</v>
      </c>
      <c r="L646" s="1032">
        <v>49850</v>
      </c>
      <c r="M646" s="924">
        <v>48994</v>
      </c>
      <c r="N646" s="924">
        <v>48833</v>
      </c>
      <c r="O646" s="924">
        <v>48596</v>
      </c>
      <c r="P646" s="265">
        <f t="shared" si="1337" ref="P646:P652">Q646</f>
        <v>48295</v>
      </c>
      <c r="Q646" s="1032">
        <v>48295</v>
      </c>
      <c r="R646" s="924">
        <v>48640</v>
      </c>
      <c r="S646" s="924">
        <v>47953</v>
      </c>
      <c r="T646" s="924">
        <v>48168</v>
      </c>
      <c r="U646" s="265">
        <f t="shared" si="1338" ref="U646:U652">V646</f>
        <v>47949</v>
      </c>
      <c r="V646" s="1032">
        <v>47949</v>
      </c>
      <c r="W646" s="924">
        <v>48320</v>
      </c>
      <c r="X646" s="924">
        <v>48574</v>
      </c>
      <c r="Y646" s="924">
        <v>49750</v>
      </c>
      <c r="Z646" s="265">
        <f t="shared" si="1339" ref="Z646:Z652">AA646</f>
        <v>49650</v>
      </c>
      <c r="AA646" s="1032">
        <v>49650</v>
      </c>
      <c r="AB646" s="924">
        <v>49810</v>
      </c>
      <c r="AC646" s="924">
        <v>49961</v>
      </c>
      <c r="AD646" s="924">
        <v>50430</v>
      </c>
      <c r="AE646" s="265">
        <f t="shared" si="1340" ref="AE646:AE652">AF646</f>
        <v>50668</v>
      </c>
      <c r="AF646" s="1032">
        <v>50668</v>
      </c>
      <c r="AG646" s="924">
        <v>50718</v>
      </c>
      <c r="AH646" s="924">
        <v>51073</v>
      </c>
      <c r="AI646" s="924">
        <v>51612</v>
      </c>
      <c r="AJ646" s="265">
        <f t="shared" si="1341" ref="AJ646:AJ652">AK646</f>
        <v>51849</v>
      </c>
      <c r="AK646" s="1032">
        <v>51849</v>
      </c>
      <c r="AL646" s="924">
        <v>51957</v>
      </c>
      <c r="AM646" s="924">
        <v>53109</v>
      </c>
      <c r="AN646" s="924">
        <v>54418</v>
      </c>
      <c r="AO646" s="265">
        <f t="shared" si="1342" ref="AO646:AO652">AP646</f>
        <v>54521</v>
      </c>
      <c r="AP646" s="1032">
        <v>54521</v>
      </c>
      <c r="AQ646" s="924">
        <v>55340</v>
      </c>
      <c r="AR646" s="924">
        <v>55906</v>
      </c>
      <c r="AS646" s="924">
        <v>56805</v>
      </c>
      <c r="AT646" s="265">
        <f t="shared" si="1343" ref="AT646:AT652">AU646</f>
        <v>56907</v>
      </c>
      <c r="AU646" s="1032">
        <v>56907</v>
      </c>
      <c r="AV646" s="924">
        <v>57572</v>
      </c>
      <c r="AW646" s="924">
        <v>57983</v>
      </c>
      <c r="AX646" s="924">
        <v>58138</v>
      </c>
      <c r="AY646" s="265">
        <f t="shared" si="1344" ref="AY646:AY652">AZ646</f>
        <v>58649</v>
      </c>
      <c r="AZ646" s="1032">
        <v>58649</v>
      </c>
      <c r="BA646" s="924">
        <v>59064</v>
      </c>
      <c r="BB646" s="924">
        <v>60571</v>
      </c>
      <c r="BC646" s="924">
        <v>61709</v>
      </c>
      <c r="BD646" s="265">
        <f t="shared" si="1345" ref="BD646:BD652">BE646</f>
        <v>61627</v>
      </c>
      <c r="BE646" s="1032">
        <v>61627</v>
      </c>
      <c r="BF646" s="924">
        <v>62487</v>
      </c>
      <c r="BG646" s="924">
        <v>63857</v>
      </c>
      <c r="BH646" s="925">
        <v>64746</v>
      </c>
      <c r="BI646" s="210">
        <f>BH646+BI581</f>
        <v>65761.404062999994</v>
      </c>
      <c r="BJ646" s="994">
        <f t="shared" si="1346" ref="BJ646:BJ652">BI646</f>
        <v>65761.404062999994</v>
      </c>
      <c r="BK646" s="210">
        <f t="shared" si="1347" ref="BK646:BN647">BJ646+BK581</f>
        <v>66844.748376000003</v>
      </c>
      <c r="BL646" s="210">
        <f t="shared" si="1347"/>
        <v>68055.371402999997</v>
      </c>
      <c r="BM646" s="210">
        <f t="shared" si="1347"/>
        <v>69267.407512999998</v>
      </c>
      <c r="BN646" s="210">
        <f t="shared" si="1347"/>
        <v>70325.163524999996</v>
      </c>
      <c r="BO646" s="994">
        <f t="shared" si="1348" ref="BO646:BO652">BN646</f>
        <v>70325.163524999996</v>
      </c>
      <c r="BP646" s="994">
        <f t="shared" si="1349" ref="BP646:BR647">BO646+BP581</f>
        <v>75000.413312999997</v>
      </c>
      <c r="BQ646" s="994">
        <f t="shared" si="1349"/>
        <v>79765.170375000002</v>
      </c>
      <c r="BR646" s="994">
        <f t="shared" si="1349"/>
        <v>84776.368352999998</v>
      </c>
      <c r="BS646" s="833"/>
    </row>
    <row r="647" spans="1:71" s="24" customFormat="1" ht="15">
      <c r="A647" s="263" t="s">
        <v>198</v>
      </c>
      <c r="B647" s="462"/>
      <c r="C647" s="1032">
        <v>10861</v>
      </c>
      <c r="D647" s="1032">
        <v>10921</v>
      </c>
      <c r="E647" s="1032">
        <v>11102</v>
      </c>
      <c r="F647" s="1032">
        <v>11241</v>
      </c>
      <c r="G647" s="1032">
        <v>11850</v>
      </c>
      <c r="H647" s="924">
        <v>11917</v>
      </c>
      <c r="I647" s="924">
        <v>12089</v>
      </c>
      <c r="J647" s="924">
        <v>12181</v>
      </c>
      <c r="K647" s="265">
        <f t="shared" si="1336"/>
        <v>11839</v>
      </c>
      <c r="L647" s="1032">
        <v>11839</v>
      </c>
      <c r="M647" s="924">
        <v>11954</v>
      </c>
      <c r="N647" s="924">
        <v>12153</v>
      </c>
      <c r="O647" s="924">
        <v>12284</v>
      </c>
      <c r="P647" s="265">
        <f t="shared" si="1337"/>
        <v>11971</v>
      </c>
      <c r="Q647" s="1032">
        <v>11971</v>
      </c>
      <c r="R647" s="924">
        <v>12331</v>
      </c>
      <c r="S647" s="924">
        <v>12520</v>
      </c>
      <c r="T647" s="924">
        <v>12706</v>
      </c>
      <c r="U647" s="265">
        <f t="shared" si="1338"/>
        <v>12329</v>
      </c>
      <c r="V647" s="1032">
        <v>12329</v>
      </c>
      <c r="W647" s="924">
        <v>12814</v>
      </c>
      <c r="X647" s="924">
        <v>13052</v>
      </c>
      <c r="Y647" s="924">
        <v>13247</v>
      </c>
      <c r="Z647" s="265">
        <f t="shared" si="1339"/>
        <v>12915</v>
      </c>
      <c r="AA647" s="1032">
        <v>12915</v>
      </c>
      <c r="AB647" s="924">
        <v>13424</v>
      </c>
      <c r="AC647" s="924">
        <v>13755</v>
      </c>
      <c r="AD647" s="924">
        <v>13979</v>
      </c>
      <c r="AE647" s="265">
        <f t="shared" si="1340"/>
        <v>13555</v>
      </c>
      <c r="AF647" s="1032">
        <v>13555</v>
      </c>
      <c r="AG647" s="924">
        <v>14122</v>
      </c>
      <c r="AH647" s="924">
        <v>14538</v>
      </c>
      <c r="AI647" s="924">
        <v>14912</v>
      </c>
      <c r="AJ647" s="265">
        <f t="shared" si="1341"/>
        <v>14604</v>
      </c>
      <c r="AK647" s="1032">
        <v>14604</v>
      </c>
      <c r="AL647" s="924">
        <v>14941</v>
      </c>
      <c r="AM647" s="924">
        <v>15198</v>
      </c>
      <c r="AN647" s="924">
        <v>15542</v>
      </c>
      <c r="AO647" s="265">
        <f t="shared" si="1342"/>
        <v>15222</v>
      </c>
      <c r="AP647" s="1032">
        <v>15222</v>
      </c>
      <c r="AQ647" s="924">
        <v>15742</v>
      </c>
      <c r="AR647" s="924">
        <v>16210</v>
      </c>
      <c r="AS647" s="924">
        <v>16677</v>
      </c>
      <c r="AT647" s="265">
        <f t="shared" si="1343"/>
        <v>16469</v>
      </c>
      <c r="AU647" s="1032">
        <v>16469</v>
      </c>
      <c r="AV647" s="924">
        <v>17193</v>
      </c>
      <c r="AW647" s="924">
        <v>17811</v>
      </c>
      <c r="AX647" s="924">
        <v>18364</v>
      </c>
      <c r="AY647" s="265">
        <f t="shared" si="1344"/>
        <v>18240</v>
      </c>
      <c r="AZ647" s="1032">
        <v>18240</v>
      </c>
      <c r="BA647" s="924">
        <v>19143</v>
      </c>
      <c r="BB647" s="924">
        <v>20214</v>
      </c>
      <c r="BC647" s="924">
        <v>21058</v>
      </c>
      <c r="BD647" s="265">
        <f t="shared" si="1345"/>
        <v>20872</v>
      </c>
      <c r="BE647" s="1032">
        <v>20872</v>
      </c>
      <c r="BF647" s="924">
        <v>21307</v>
      </c>
      <c r="BG647" s="924">
        <v>22090</v>
      </c>
      <c r="BH647" s="925">
        <v>22783</v>
      </c>
      <c r="BI647" s="210">
        <f>BH647+BI582</f>
        <v>22946.4768</v>
      </c>
      <c r="BJ647" s="994">
        <f t="shared" si="1346"/>
        <v>22946.4768</v>
      </c>
      <c r="BK647" s="210">
        <f t="shared" si="1347"/>
        <v>23307.745800000001</v>
      </c>
      <c r="BL647" s="210">
        <f t="shared" si="1347"/>
        <v>23489.3665</v>
      </c>
      <c r="BM647" s="210">
        <f t="shared" si="1347"/>
        <v>23675.941999999999</v>
      </c>
      <c r="BN647" s="210">
        <f t="shared" si="1347"/>
        <v>23845.595421999999</v>
      </c>
      <c r="BO647" s="994">
        <f t="shared" si="1348"/>
        <v>23845.595421999999</v>
      </c>
      <c r="BP647" s="994">
        <f t="shared" si="1349"/>
        <v>25425.187618</v>
      </c>
      <c r="BQ647" s="994">
        <f t="shared" si="1349"/>
        <v>27070.976595</v>
      </c>
      <c r="BR647" s="994">
        <f t="shared" si="1349"/>
        <v>28786.362159</v>
      </c>
      <c r="BS647" s="833"/>
    </row>
    <row r="648" spans="1:71" s="24" customFormat="1" ht="15">
      <c r="A648" s="263" t="s">
        <v>248</v>
      </c>
      <c r="B648" s="462"/>
      <c r="C648" s="1032">
        <v>5797</v>
      </c>
      <c r="D648" s="1032">
        <v>5343</v>
      </c>
      <c r="E648" s="1032">
        <v>5186</v>
      </c>
      <c r="F648" s="1032">
        <v>4806</v>
      </c>
      <c r="G648" s="1032">
        <v>4328</v>
      </c>
      <c r="H648" s="924">
        <v>4361</v>
      </c>
      <c r="I648" s="924">
        <v>4371</v>
      </c>
      <c r="J648" s="924">
        <v>4367</v>
      </c>
      <c r="K648" s="265">
        <f t="shared" si="1336"/>
        <v>4362</v>
      </c>
      <c r="L648" s="1032">
        <v>4362</v>
      </c>
      <c r="M648" s="924">
        <v>4396</v>
      </c>
      <c r="N648" s="924">
        <v>4473</v>
      </c>
      <c r="O648" s="924">
        <v>4390</v>
      </c>
      <c r="P648" s="265">
        <f t="shared" si="1337"/>
        <v>4374</v>
      </c>
      <c r="Q648" s="1032">
        <v>4374</v>
      </c>
      <c r="R648" s="924">
        <v>4419</v>
      </c>
      <c r="S648" s="924">
        <v>4541</v>
      </c>
      <c r="T648" s="924">
        <v>4580</v>
      </c>
      <c r="U648" s="265">
        <f t="shared" si="1338"/>
        <v>4609</v>
      </c>
      <c r="V648" s="1032">
        <v>4609</v>
      </c>
      <c r="W648" s="924">
        <v>4668</v>
      </c>
      <c r="X648" s="924">
        <v>4700</v>
      </c>
      <c r="Y648" s="924">
        <v>4757</v>
      </c>
      <c r="Z648" s="265">
        <f t="shared" si="1339"/>
        <v>4775</v>
      </c>
      <c r="AA648" s="1032">
        <v>4775</v>
      </c>
      <c r="AB648" s="924">
        <v>4835</v>
      </c>
      <c r="AC648" s="924">
        <v>4830</v>
      </c>
      <c r="AD648" s="924">
        <v>4887</v>
      </c>
      <c r="AE648" s="265">
        <f t="shared" si="1340"/>
        <v>4785</v>
      </c>
      <c r="AF648" s="1032">
        <v>4785</v>
      </c>
      <c r="AG648" s="924">
        <v>4811</v>
      </c>
      <c r="AH648" s="924">
        <v>4776</v>
      </c>
      <c r="AI648" s="924">
        <v>4802</v>
      </c>
      <c r="AJ648" s="265">
        <f t="shared" si="1341"/>
        <v>4619</v>
      </c>
      <c r="AK648" s="1032">
        <v>4619</v>
      </c>
      <c r="AL648" s="924">
        <v>4654</v>
      </c>
      <c r="AM648" s="924">
        <v>4336</v>
      </c>
      <c r="AN648" s="924">
        <v>4368</v>
      </c>
      <c r="AO648" s="265">
        <f t="shared" si="1342"/>
        <v>4261</v>
      </c>
      <c r="AP648" s="1032">
        <v>4261</v>
      </c>
      <c r="AQ648" s="924">
        <v>4290</v>
      </c>
      <c r="AR648" s="924">
        <v>4035</v>
      </c>
      <c r="AS648" s="924">
        <v>4043</v>
      </c>
      <c r="AT648" s="265">
        <f t="shared" si="1343"/>
        <v>3911</v>
      </c>
      <c r="AU648" s="1032">
        <v>3911</v>
      </c>
      <c r="AV648" s="924">
        <v>3920</v>
      </c>
      <c r="AW648" s="924">
        <v>3753</v>
      </c>
      <c r="AX648" s="924">
        <v>3767</v>
      </c>
      <c r="AY648" s="265">
        <f t="shared" si="1344"/>
        <v>3596</v>
      </c>
      <c r="AZ648" s="1032">
        <v>3596</v>
      </c>
      <c r="BA648" s="924">
        <v>3617</v>
      </c>
      <c r="BB648" s="924">
        <v>3469</v>
      </c>
      <c r="BC648" s="924">
        <v>3487</v>
      </c>
      <c r="BD648" s="265">
        <f t="shared" si="1345"/>
        <v>3269</v>
      </c>
      <c r="BE648" s="1032">
        <v>3269</v>
      </c>
      <c r="BF648" s="924">
        <v>3285</v>
      </c>
      <c r="BG648" s="924">
        <v>3292</v>
      </c>
      <c r="BH648" s="925">
        <v>3310</v>
      </c>
      <c r="BI648" s="210">
        <f>BH648</f>
        <v>3310</v>
      </c>
      <c r="BJ648" s="994">
        <f t="shared" si="1346"/>
        <v>3310</v>
      </c>
      <c r="BK648" s="210">
        <f t="shared" si="1350" ref="BK648:BN649">BJ648</f>
        <v>3310</v>
      </c>
      <c r="BL648" s="210">
        <f t="shared" si="1350"/>
        <v>3310</v>
      </c>
      <c r="BM648" s="210">
        <f t="shared" si="1350"/>
        <v>3310</v>
      </c>
      <c r="BN648" s="210">
        <f t="shared" si="1350"/>
        <v>3310</v>
      </c>
      <c r="BO648" s="994">
        <f t="shared" si="1348"/>
        <v>3310</v>
      </c>
      <c r="BP648" s="994">
        <f t="shared" si="1351" ref="BP648:BR649">BO648</f>
        <v>3310</v>
      </c>
      <c r="BQ648" s="994">
        <f t="shared" si="1351"/>
        <v>3310</v>
      </c>
      <c r="BR648" s="994">
        <f t="shared" si="1351"/>
        <v>3310</v>
      </c>
      <c r="BS648" s="833"/>
    </row>
    <row r="649" spans="1:71" s="24" customFormat="1" ht="15">
      <c r="A649" s="263" t="s">
        <v>249</v>
      </c>
      <c r="B649" s="462"/>
      <c r="C649" s="1032">
        <v>546</v>
      </c>
      <c r="D649" s="1032">
        <v>407</v>
      </c>
      <c r="E649" s="1032">
        <v>389</v>
      </c>
      <c r="F649" s="1032">
        <v>346</v>
      </c>
      <c r="G649" s="1032">
        <v>298</v>
      </c>
      <c r="H649" s="924">
        <v>370</v>
      </c>
      <c r="I649" s="924">
        <v>397</v>
      </c>
      <c r="J649" s="924">
        <v>491</v>
      </c>
      <c r="K649" s="265">
        <f t="shared" si="1336"/>
        <v>336</v>
      </c>
      <c r="L649" s="1032">
        <v>336</v>
      </c>
      <c r="M649" s="924">
        <v>485</v>
      </c>
      <c r="N649" s="924">
        <v>428</v>
      </c>
      <c r="O649" s="924">
        <v>439</v>
      </c>
      <c r="P649" s="265">
        <f t="shared" si="1337"/>
        <v>296</v>
      </c>
      <c r="Q649" s="1032">
        <v>296</v>
      </c>
      <c r="R649" s="924">
        <v>438</v>
      </c>
      <c r="S649" s="924">
        <v>401</v>
      </c>
      <c r="T649" s="924">
        <v>431</v>
      </c>
      <c r="U649" s="265">
        <f t="shared" si="1338"/>
        <v>273</v>
      </c>
      <c r="V649" s="1032">
        <v>273</v>
      </c>
      <c r="W649" s="924">
        <v>429</v>
      </c>
      <c r="X649" s="924">
        <v>364</v>
      </c>
      <c r="Y649" s="924">
        <v>423</v>
      </c>
      <c r="Z649" s="265">
        <f t="shared" si="1339"/>
        <v>274</v>
      </c>
      <c r="AA649" s="1032">
        <v>274</v>
      </c>
      <c r="AB649" s="924">
        <v>498</v>
      </c>
      <c r="AC649" s="924">
        <v>396</v>
      </c>
      <c r="AD649" s="924">
        <v>418</v>
      </c>
      <c r="AE649" s="265">
        <f t="shared" si="1340"/>
        <v>289</v>
      </c>
      <c r="AF649" s="1032">
        <v>289</v>
      </c>
      <c r="AG649" s="924">
        <v>635</v>
      </c>
      <c r="AH649" s="924">
        <v>591</v>
      </c>
      <c r="AI649" s="924">
        <v>573</v>
      </c>
      <c r="AJ649" s="265">
        <f t="shared" si="1341"/>
        <v>363</v>
      </c>
      <c r="AK649" s="1032">
        <v>363</v>
      </c>
      <c r="AL649" s="924">
        <v>634</v>
      </c>
      <c r="AM649" s="924">
        <v>567</v>
      </c>
      <c r="AN649" s="924">
        <v>555</v>
      </c>
      <c r="AO649" s="265">
        <f t="shared" si="1342"/>
        <v>356</v>
      </c>
      <c r="AP649" s="1032">
        <v>356</v>
      </c>
      <c r="AQ649" s="924">
        <v>702</v>
      </c>
      <c r="AR649" s="924">
        <v>638</v>
      </c>
      <c r="AS649" s="924">
        <v>621</v>
      </c>
      <c r="AT649" s="265">
        <f t="shared" si="1343"/>
        <v>384</v>
      </c>
      <c r="AU649" s="1032">
        <v>384</v>
      </c>
      <c r="AV649" s="924">
        <v>694</v>
      </c>
      <c r="AW649" s="924">
        <v>620</v>
      </c>
      <c r="AX649" s="924">
        <v>629</v>
      </c>
      <c r="AY649" s="265">
        <f t="shared" si="1344"/>
        <v>419</v>
      </c>
      <c r="AZ649" s="1032">
        <v>419</v>
      </c>
      <c r="BA649" s="924">
        <v>761</v>
      </c>
      <c r="BB649" s="924">
        <v>726</v>
      </c>
      <c r="BC649" s="924">
        <v>807</v>
      </c>
      <c r="BD649" s="265">
        <f t="shared" si="1345"/>
        <v>518</v>
      </c>
      <c r="BE649" s="1032">
        <v>518</v>
      </c>
      <c r="BF649" s="924">
        <v>887</v>
      </c>
      <c r="BG649" s="924">
        <v>869</v>
      </c>
      <c r="BH649" s="925">
        <v>921</v>
      </c>
      <c r="BI649" s="210">
        <f>BH649</f>
        <v>921</v>
      </c>
      <c r="BJ649" s="994">
        <f t="shared" si="1346"/>
        <v>921</v>
      </c>
      <c r="BK649" s="210">
        <f t="shared" si="1350"/>
        <v>921</v>
      </c>
      <c r="BL649" s="210">
        <f t="shared" si="1350"/>
        <v>921</v>
      </c>
      <c r="BM649" s="210">
        <f t="shared" si="1350"/>
        <v>921</v>
      </c>
      <c r="BN649" s="210">
        <f t="shared" si="1350"/>
        <v>921</v>
      </c>
      <c r="BO649" s="994">
        <f t="shared" si="1348"/>
        <v>921</v>
      </c>
      <c r="BP649" s="994">
        <f t="shared" si="1351"/>
        <v>921</v>
      </c>
      <c r="BQ649" s="994">
        <f t="shared" si="1351"/>
        <v>921</v>
      </c>
      <c r="BR649" s="994">
        <f t="shared" si="1351"/>
        <v>921</v>
      </c>
      <c r="BS649" s="833"/>
    </row>
    <row r="650" spans="1:71" s="24" customFormat="1" ht="15">
      <c r="A650" s="263" t="s">
        <v>241</v>
      </c>
      <c r="B650" s="462"/>
      <c r="C650" s="994"/>
      <c r="D650" s="994"/>
      <c r="E650" s="1032">
        <v>0</v>
      </c>
      <c r="F650" s="1032">
        <v>338</v>
      </c>
      <c r="G650" s="994"/>
      <c r="H650" s="924">
        <v>54</v>
      </c>
      <c r="I650" s="924">
        <v>239</v>
      </c>
      <c r="J650" s="924">
        <v>122</v>
      </c>
      <c r="K650" s="265">
        <f t="shared" si="1336"/>
        <v>0</v>
      </c>
      <c r="L650" s="994"/>
      <c r="M650" s="924">
        <v>126</v>
      </c>
      <c r="N650" s="210"/>
      <c r="O650" s="210"/>
      <c r="P650" s="265">
        <f t="shared" si="1337"/>
        <v>0</v>
      </c>
      <c r="Q650" s="994"/>
      <c r="R650" s="924">
        <v>82</v>
      </c>
      <c r="S650" s="924">
        <v>370</v>
      </c>
      <c r="T650" s="924">
        <v>171</v>
      </c>
      <c r="U650" s="265">
        <f t="shared" si="1338"/>
        <v>0</v>
      </c>
      <c r="V650" s="994"/>
      <c r="W650" s="210"/>
      <c r="X650" s="210"/>
      <c r="Y650" s="210"/>
      <c r="Z650" s="265">
        <f t="shared" si="1339"/>
        <v>0</v>
      </c>
      <c r="AA650" s="994"/>
      <c r="AB650" s="210"/>
      <c r="AC650" s="210"/>
      <c r="AD650" s="210"/>
      <c r="AE650" s="265">
        <f t="shared" si="1340"/>
        <v>0</v>
      </c>
      <c r="AF650" s="994"/>
      <c r="AG650" s="210"/>
      <c r="AH650" s="924">
        <v>87</v>
      </c>
      <c r="AI650" s="924">
        <v>188</v>
      </c>
      <c r="AJ650" s="265">
        <f t="shared" si="1341"/>
        <v>137</v>
      </c>
      <c r="AK650" s="1032">
        <v>137</v>
      </c>
      <c r="AL650" s="924">
        <v>0</v>
      </c>
      <c r="AM650" s="924">
        <v>409</v>
      </c>
      <c r="AN650" s="924">
        <v>448</v>
      </c>
      <c r="AO650" s="265">
        <f t="shared" si="1342"/>
        <v>558</v>
      </c>
      <c r="AP650" s="1032">
        <v>558</v>
      </c>
      <c r="AQ650" s="924">
        <v>293</v>
      </c>
      <c r="AR650" s="924">
        <v>415</v>
      </c>
      <c r="AS650" s="924">
        <v>274</v>
      </c>
      <c r="AT650" s="265">
        <f t="shared" si="1343"/>
        <v>289</v>
      </c>
      <c r="AU650" s="1032">
        <v>289</v>
      </c>
      <c r="AV650" s="924">
        <v>0</v>
      </c>
      <c r="AW650" s="924">
        <v>0</v>
      </c>
      <c r="AX650" s="210"/>
      <c r="AY650" s="265">
        <f t="shared" si="1344"/>
        <v>0</v>
      </c>
      <c r="AZ650" s="994"/>
      <c r="BA650" s="210"/>
      <c r="BB650" s="210"/>
      <c r="BC650" s="210"/>
      <c r="BD650" s="265">
        <f t="shared" si="1345"/>
        <v>0</v>
      </c>
      <c r="BE650" s="994"/>
      <c r="BF650" s="210"/>
      <c r="BG650" s="210"/>
      <c r="BH650" s="553"/>
      <c r="BI650" s="210">
        <f>BH650+BI574</f>
        <v>-16.284866258764815</v>
      </c>
      <c r="BJ650" s="994">
        <f t="shared" si="1346"/>
        <v>-16.284866258764815</v>
      </c>
      <c r="BK650" s="210">
        <f>BJ650+BK574</f>
        <v>-30.911413193848094</v>
      </c>
      <c r="BL650" s="210">
        <f>BK650+BL574</f>
        <v>-40.84508729689562</v>
      </c>
      <c r="BM650" s="210">
        <f>BL650+BM574</f>
        <v>-53.680652618866716</v>
      </c>
      <c r="BN650" s="210">
        <f>BM650+BN574</f>
        <v>-70.58993901494496</v>
      </c>
      <c r="BO650" s="994">
        <f t="shared" si="1348"/>
        <v>-70.58993901494496</v>
      </c>
      <c r="BP650" s="994">
        <f>BO650+BP574</f>
        <v>-129.61067059399772</v>
      </c>
      <c r="BQ650" s="994">
        <f>BP650+BQ574</f>
        <v>-198.00707456565954</v>
      </c>
      <c r="BR650" s="994">
        <f>BQ650+BR574</f>
        <v>-260.38096275258789</v>
      </c>
      <c r="BS650" s="833"/>
    </row>
    <row r="651" spans="1:71" s="24" customFormat="1" ht="15">
      <c r="A651" s="263" t="s">
        <v>250</v>
      </c>
      <c r="B651" s="462"/>
      <c r="C651" s="1032">
        <v>6527</v>
      </c>
      <c r="D651" s="1032">
        <v>6611</v>
      </c>
      <c r="E651" s="1032">
        <v>6605</v>
      </c>
      <c r="F651" s="1032">
        <v>6350</v>
      </c>
      <c r="G651" s="1032">
        <v>6346</v>
      </c>
      <c r="H651" s="924">
        <v>6347</v>
      </c>
      <c r="I651" s="924">
        <v>6347</v>
      </c>
      <c r="J651" s="924">
        <v>6348</v>
      </c>
      <c r="K651" s="265">
        <f t="shared" si="1336"/>
        <v>6349</v>
      </c>
      <c r="L651" s="1032">
        <v>6349</v>
      </c>
      <c r="M651" s="924">
        <v>6349</v>
      </c>
      <c r="N651" s="924">
        <v>6350</v>
      </c>
      <c r="O651" s="924">
        <v>6743</v>
      </c>
      <c r="P651" s="265">
        <f t="shared" si="1337"/>
        <v>6344</v>
      </c>
      <c r="Q651" s="1032">
        <v>6344</v>
      </c>
      <c r="R651" s="924">
        <v>6344</v>
      </c>
      <c r="S651" s="924">
        <v>6436</v>
      </c>
      <c r="T651" s="924">
        <v>6436</v>
      </c>
      <c r="U651" s="265">
        <f t="shared" si="1338"/>
        <v>6437</v>
      </c>
      <c r="V651" s="1032">
        <v>6437</v>
      </c>
      <c r="W651" s="924">
        <v>6438</v>
      </c>
      <c r="X651" s="924">
        <v>6920</v>
      </c>
      <c r="Y651" s="924">
        <v>6921</v>
      </c>
      <c r="Z651" s="265">
        <f t="shared" si="1339"/>
        <v>6571</v>
      </c>
      <c r="AA651" s="1032">
        <v>6571</v>
      </c>
      <c r="AB651" s="924">
        <v>6963</v>
      </c>
      <c r="AC651" s="924">
        <v>6464</v>
      </c>
      <c r="AD651" s="924">
        <v>6564</v>
      </c>
      <c r="AE651" s="265">
        <f t="shared" si="1340"/>
        <v>6564</v>
      </c>
      <c r="AF651" s="1032">
        <v>6564</v>
      </c>
      <c r="AG651" s="924">
        <v>7057</v>
      </c>
      <c r="AH651" s="924">
        <v>6558</v>
      </c>
      <c r="AI651" s="924">
        <v>6558</v>
      </c>
      <c r="AJ651" s="265">
        <f t="shared" si="1341"/>
        <v>6558</v>
      </c>
      <c r="AK651" s="1032">
        <v>6558</v>
      </c>
      <c r="AL651" s="924">
        <v>6559</v>
      </c>
      <c r="AM651" s="924">
        <v>7049</v>
      </c>
      <c r="AN651" s="924">
        <v>7050</v>
      </c>
      <c r="AO651" s="265">
        <f t="shared" si="1342"/>
        <v>6550</v>
      </c>
      <c r="AP651" s="1032">
        <v>6550</v>
      </c>
      <c r="AQ651" s="924">
        <v>6550</v>
      </c>
      <c r="AR651" s="924">
        <v>7290</v>
      </c>
      <c r="AS651" s="924">
        <v>7290</v>
      </c>
      <c r="AT651" s="265">
        <f t="shared" si="1343"/>
        <v>7290</v>
      </c>
      <c r="AU651" s="1032">
        <v>7290</v>
      </c>
      <c r="AV651" s="924">
        <v>7291</v>
      </c>
      <c r="AW651" s="924">
        <v>7291</v>
      </c>
      <c r="AX651" s="924">
        <v>7291</v>
      </c>
      <c r="AY651" s="265">
        <f t="shared" si="1344"/>
        <v>7292</v>
      </c>
      <c r="AZ651" s="1032">
        <v>7292</v>
      </c>
      <c r="BA651" s="924">
        <v>7292</v>
      </c>
      <c r="BB651" s="924">
        <v>8031</v>
      </c>
      <c r="BC651" s="924">
        <v>8031</v>
      </c>
      <c r="BD651" s="265">
        <f t="shared" si="1345"/>
        <v>8031</v>
      </c>
      <c r="BE651" s="1032">
        <v>8031</v>
      </c>
      <c r="BF651" s="924">
        <v>8032</v>
      </c>
      <c r="BG651" s="924">
        <v>8032</v>
      </c>
      <c r="BH651" s="925">
        <v>8033</v>
      </c>
      <c r="BI651" s="210">
        <f>BH651+BI607+BI608</f>
        <v>8033</v>
      </c>
      <c r="BJ651" s="994">
        <f t="shared" si="1346"/>
        <v>8033</v>
      </c>
      <c r="BK651" s="210">
        <f>BJ651+BK607+BK608</f>
        <v>8033</v>
      </c>
      <c r="BL651" s="210">
        <f>BK651+BL607+BL608</f>
        <v>8033</v>
      </c>
      <c r="BM651" s="210">
        <f>BL651+BM607+BM608</f>
        <v>8033</v>
      </c>
      <c r="BN651" s="210">
        <f>BM651+BN607+BN608</f>
        <v>8033</v>
      </c>
      <c r="BO651" s="994">
        <f t="shared" si="1348"/>
        <v>8033</v>
      </c>
      <c r="BP651" s="994">
        <f>BO651+BP607+BP608</f>
        <v>8033</v>
      </c>
      <c r="BQ651" s="994">
        <f>BP651+BQ607+BQ608</f>
        <v>8033</v>
      </c>
      <c r="BR651" s="994">
        <f>BQ651+BR607+BR608</f>
        <v>8033</v>
      </c>
      <c r="BS651" s="833"/>
    </row>
    <row r="652" spans="1:71" s="24" customFormat="1" ht="15">
      <c r="A652" s="60" t="s">
        <v>251</v>
      </c>
      <c r="B652" s="478"/>
      <c r="C652" s="1033">
        <v>5287</v>
      </c>
      <c r="D652" s="1033">
        <v>5293</v>
      </c>
      <c r="E652" s="1033">
        <v>5424</v>
      </c>
      <c r="F652" s="1033">
        <v>5530</v>
      </c>
      <c r="G652" s="1033">
        <v>5299</v>
      </c>
      <c r="H652" s="927">
        <v>5110</v>
      </c>
      <c r="I652" s="927">
        <v>4980</v>
      </c>
      <c r="J652" s="927">
        <v>5290</v>
      </c>
      <c r="K652" s="186">
        <f t="shared" si="1336"/>
        <v>5506</v>
      </c>
      <c r="L652" s="1033">
        <v>5506</v>
      </c>
      <c r="M652" s="927">
        <v>5540</v>
      </c>
      <c r="N652" s="927">
        <v>5306</v>
      </c>
      <c r="O652" s="927">
        <v>5625</v>
      </c>
      <c r="P652" s="186">
        <f t="shared" si="1337"/>
        <v>5306</v>
      </c>
      <c r="Q652" s="1033">
        <v>5306</v>
      </c>
      <c r="R652" s="927">
        <v>5260</v>
      </c>
      <c r="S652" s="927">
        <v>5511</v>
      </c>
      <c r="T652" s="927">
        <v>5856</v>
      </c>
      <c r="U652" s="186">
        <f t="shared" si="1338"/>
        <v>5427</v>
      </c>
      <c r="V652" s="1033">
        <v>5427</v>
      </c>
      <c r="W652" s="927">
        <v>4965</v>
      </c>
      <c r="X652" s="927">
        <v>5201</v>
      </c>
      <c r="Y652" s="927">
        <v>5475</v>
      </c>
      <c r="Z652" s="186">
        <f t="shared" si="1339"/>
        <v>5567</v>
      </c>
      <c r="AA652" s="1033">
        <v>5567</v>
      </c>
      <c r="AB652" s="927">
        <v>5167</v>
      </c>
      <c r="AC652" s="927">
        <v>5494</v>
      </c>
      <c r="AD652" s="927">
        <v>5652</v>
      </c>
      <c r="AE652" s="186">
        <f t="shared" si="1340"/>
        <v>5478</v>
      </c>
      <c r="AF652" s="1033">
        <v>5478</v>
      </c>
      <c r="AG652" s="927">
        <v>5563</v>
      </c>
      <c r="AH652" s="927">
        <v>5628</v>
      </c>
      <c r="AI652" s="927">
        <v>5989</v>
      </c>
      <c r="AJ652" s="186">
        <f t="shared" si="1341"/>
        <v>6049</v>
      </c>
      <c r="AK652" s="1033">
        <v>6049</v>
      </c>
      <c r="AL652" s="927">
        <v>5487</v>
      </c>
      <c r="AM652" s="927">
        <v>5726</v>
      </c>
      <c r="AN652" s="927">
        <v>6154</v>
      </c>
      <c r="AO652" s="186">
        <f t="shared" si="1342"/>
        <v>6095</v>
      </c>
      <c r="AP652" s="1033">
        <v>6095</v>
      </c>
      <c r="AQ652" s="927">
        <v>5846</v>
      </c>
      <c r="AR652" s="927">
        <v>6109</v>
      </c>
      <c r="AS652" s="927">
        <v>6522</v>
      </c>
      <c r="AT652" s="186">
        <f t="shared" si="1343"/>
        <v>6329</v>
      </c>
      <c r="AU652" s="1033">
        <v>6329</v>
      </c>
      <c r="AV652" s="927">
        <v>6391</v>
      </c>
      <c r="AW652" s="927">
        <v>6255</v>
      </c>
      <c r="AX652" s="927">
        <v>6222</v>
      </c>
      <c r="AY652" s="186">
        <f t="shared" si="1344"/>
        <v>5961</v>
      </c>
      <c r="AZ652" s="1033">
        <v>5961</v>
      </c>
      <c r="BA652" s="927">
        <v>5423</v>
      </c>
      <c r="BB652" s="927">
        <v>5707</v>
      </c>
      <c r="BC652" s="927">
        <v>6314</v>
      </c>
      <c r="BD652" s="186">
        <f t="shared" si="1345"/>
        <v>6740</v>
      </c>
      <c r="BE652" s="1033">
        <v>6740</v>
      </c>
      <c r="BF652" s="927">
        <v>6390</v>
      </c>
      <c r="BG652" s="927">
        <v>6313</v>
      </c>
      <c r="BH652" s="928">
        <v>7099</v>
      </c>
      <c r="BI652" s="205">
        <f>BH652</f>
        <v>7099</v>
      </c>
      <c r="BJ652" s="996">
        <f t="shared" si="1346"/>
        <v>7099</v>
      </c>
      <c r="BK652" s="205">
        <f>BJ652</f>
        <v>7099</v>
      </c>
      <c r="BL652" s="205">
        <f>BK652</f>
        <v>7099</v>
      </c>
      <c r="BM652" s="205">
        <f>BL652</f>
        <v>7099</v>
      </c>
      <c r="BN652" s="205">
        <f>BM652</f>
        <v>7099</v>
      </c>
      <c r="BO652" s="996">
        <f t="shared" si="1348"/>
        <v>7099</v>
      </c>
      <c r="BP652" s="996">
        <f>BO652</f>
        <v>7099</v>
      </c>
      <c r="BQ652" s="996">
        <f>BP652</f>
        <v>7099</v>
      </c>
      <c r="BR652" s="996">
        <f>BQ652</f>
        <v>7099</v>
      </c>
      <c r="BS652" s="833"/>
    </row>
    <row r="653" spans="1:71" s="181" customFormat="1" ht="15">
      <c r="A653" s="62" t="s">
        <v>252</v>
      </c>
      <c r="B653" s="479"/>
      <c r="C653" s="997">
        <f t="shared" si="1352" ref="C653:AM653">SUM(C646:C652)</f>
        <v>82145</v>
      </c>
      <c r="D653" s="997">
        <f t="shared" si="1352"/>
        <v>80181</v>
      </c>
      <c r="E653" s="997">
        <f t="shared" si="1352"/>
        <v>80098</v>
      </c>
      <c r="F653" s="997">
        <f t="shared" si="1352"/>
        <v>79533</v>
      </c>
      <c r="G653" s="997">
        <f t="shared" si="1352"/>
        <v>79016</v>
      </c>
      <c r="H653" s="193">
        <f t="shared" si="1352"/>
        <v>78747</v>
      </c>
      <c r="I653" s="193">
        <f t="shared" si="1352"/>
        <v>79279</v>
      </c>
      <c r="J653" s="193">
        <f t="shared" si="1352"/>
        <v>79201</v>
      </c>
      <c r="K653" s="193">
        <f t="shared" si="1352"/>
        <v>78242</v>
      </c>
      <c r="L653" s="997">
        <f t="shared" si="1352"/>
        <v>78242</v>
      </c>
      <c r="M653" s="193">
        <f t="shared" si="1352"/>
        <v>77844</v>
      </c>
      <c r="N653" s="193">
        <f t="shared" si="1352"/>
        <v>77543</v>
      </c>
      <c r="O653" s="193">
        <f t="shared" si="1352"/>
        <v>78077</v>
      </c>
      <c r="P653" s="193">
        <f t="shared" si="1352"/>
        <v>76586</v>
      </c>
      <c r="Q653" s="997">
        <f t="shared" si="1352"/>
        <v>76586</v>
      </c>
      <c r="R653" s="193">
        <f t="shared" si="1352"/>
        <v>77514</v>
      </c>
      <c r="S653" s="193">
        <f t="shared" si="1352"/>
        <v>77732</v>
      </c>
      <c r="T653" s="193">
        <f t="shared" si="1352"/>
        <v>78348</v>
      </c>
      <c r="U653" s="193">
        <f t="shared" si="1352"/>
        <v>77024</v>
      </c>
      <c r="V653" s="997">
        <f t="shared" si="1352"/>
        <v>77024</v>
      </c>
      <c r="W653" s="193">
        <f t="shared" si="1352"/>
        <v>77634</v>
      </c>
      <c r="X653" s="193">
        <f t="shared" si="1352"/>
        <v>78811</v>
      </c>
      <c r="Y653" s="193">
        <f t="shared" si="1352"/>
        <v>80573</v>
      </c>
      <c r="Z653" s="193">
        <f t="shared" si="1352"/>
        <v>79752</v>
      </c>
      <c r="AA653" s="997">
        <f t="shared" si="1352"/>
        <v>79752</v>
      </c>
      <c r="AB653" s="193">
        <f t="shared" si="1352"/>
        <v>80697</v>
      </c>
      <c r="AC653" s="193">
        <f t="shared" si="1352"/>
        <v>80900</v>
      </c>
      <c r="AD653" s="193">
        <f t="shared" si="1352"/>
        <v>81930</v>
      </c>
      <c r="AE653" s="193">
        <f t="shared" si="1352"/>
        <v>81339</v>
      </c>
      <c r="AF653" s="997">
        <f t="shared" si="1352"/>
        <v>81339</v>
      </c>
      <c r="AG653" s="193">
        <f t="shared" si="1352"/>
        <v>82906</v>
      </c>
      <c r="AH653" s="193">
        <f t="shared" si="1352"/>
        <v>83251</v>
      </c>
      <c r="AI653" s="193">
        <f t="shared" si="1352"/>
        <v>84634</v>
      </c>
      <c r="AJ653" s="193">
        <f t="shared" si="1352"/>
        <v>84179</v>
      </c>
      <c r="AK653" s="997">
        <f t="shared" si="1352"/>
        <v>84179</v>
      </c>
      <c r="AL653" s="193">
        <f t="shared" si="1352"/>
        <v>84232</v>
      </c>
      <c r="AM653" s="193">
        <f t="shared" si="1352"/>
        <v>86394</v>
      </c>
      <c r="AN653" s="193">
        <f>SUM(AN646:AN652)</f>
        <v>88535</v>
      </c>
      <c r="AO653" s="193">
        <f t="shared" si="1353" ref="AO653:AP653">SUM(AO646:AO652)</f>
        <v>87563</v>
      </c>
      <c r="AP653" s="997">
        <f t="shared" si="1353"/>
        <v>87563</v>
      </c>
      <c r="AQ653" s="193">
        <f t="shared" si="1354" ref="AQ653">SUM(AQ646:AQ652)</f>
        <v>88763</v>
      </c>
      <c r="AR653" s="193">
        <f t="shared" si="1355" ref="AR653:AW653">SUM(AR646:AR652)</f>
        <v>90603</v>
      </c>
      <c r="AS653" s="193">
        <f t="shared" si="1355"/>
        <v>92232</v>
      </c>
      <c r="AT653" s="193">
        <f t="shared" si="1355"/>
        <v>91579</v>
      </c>
      <c r="AU653" s="997">
        <f t="shared" si="1355"/>
        <v>91579</v>
      </c>
      <c r="AV653" s="193">
        <f t="shared" si="1355"/>
        <v>93061</v>
      </c>
      <c r="AW653" s="193">
        <f t="shared" si="1355"/>
        <v>93713</v>
      </c>
      <c r="AX653" s="193">
        <f t="shared" si="1356" ref="AX653:BJ653">SUM(AX646:AX652)</f>
        <v>94411</v>
      </c>
      <c r="AY653" s="193">
        <f t="shared" si="1356"/>
        <v>94157</v>
      </c>
      <c r="AZ653" s="997">
        <f t="shared" si="1356"/>
        <v>94157</v>
      </c>
      <c r="BA653" s="193">
        <f t="shared" si="1357" ref="BA653:BI653">SUM(BA646:BA652)</f>
        <v>95300</v>
      </c>
      <c r="BB653" s="193">
        <f t="shared" si="1357"/>
        <v>98718</v>
      </c>
      <c r="BC653" s="193">
        <f t="shared" si="1357"/>
        <v>101406</v>
      </c>
      <c r="BD653" s="193">
        <f t="shared" si="1357"/>
        <v>101057</v>
      </c>
      <c r="BE653" s="997">
        <f t="shared" si="1357"/>
        <v>101057</v>
      </c>
      <c r="BF653" s="193">
        <f>SUM(BF646:BF652)</f>
        <v>102388</v>
      </c>
      <c r="BG653" s="193">
        <f>SUM(BG646:BG652)</f>
        <v>104453</v>
      </c>
      <c r="BH653" s="747">
        <f>SUM(BH646:BH652)</f>
        <v>106892</v>
      </c>
      <c r="BI653" s="194">
        <f t="shared" si="1357"/>
        <v>108054.59599674123</v>
      </c>
      <c r="BJ653" s="998">
        <f t="shared" si="1356"/>
        <v>108054.59599674123</v>
      </c>
      <c r="BK653" s="194">
        <f t="shared" si="1358" ref="BK653:BR653">SUM(BK646:BK652)</f>
        <v>109484.58276280615</v>
      </c>
      <c r="BL653" s="194">
        <f t="shared" si="1358"/>
        <v>110866.8928157031</v>
      </c>
      <c r="BM653" s="194">
        <f t="shared" si="1358"/>
        <v>112252.66886038112</v>
      </c>
      <c r="BN653" s="194">
        <f t="shared" si="1358"/>
        <v>113463.16900798505</v>
      </c>
      <c r="BO653" s="998">
        <f t="shared" si="1358"/>
        <v>113463.16900798505</v>
      </c>
      <c r="BP653" s="998">
        <f t="shared" si="1358"/>
        <v>119658.99026040599</v>
      </c>
      <c r="BQ653" s="998">
        <f t="shared" si="1358"/>
        <v>126001.13989543435</v>
      </c>
      <c r="BR653" s="998">
        <f t="shared" si="1358"/>
        <v>132665.34954924742</v>
      </c>
      <c r="BS653" s="423"/>
    </row>
    <row r="654" spans="1:71" s="181" customFormat="1" ht="15">
      <c r="A654" s="453"/>
      <c r="B654" s="480"/>
      <c r="C654" s="1009"/>
      <c r="D654" s="1009"/>
      <c r="E654" s="1009"/>
      <c r="F654" s="1009"/>
      <c r="G654" s="1009"/>
      <c r="H654" s="199"/>
      <c r="I654" s="199"/>
      <c r="J654" s="199"/>
      <c r="K654" s="199"/>
      <c r="L654" s="1009"/>
      <c r="M654" s="199"/>
      <c r="N654" s="199"/>
      <c r="O654" s="199"/>
      <c r="P654" s="199"/>
      <c r="Q654" s="1009"/>
      <c r="R654" s="199"/>
      <c r="S654" s="199"/>
      <c r="T654" s="199"/>
      <c r="U654" s="199"/>
      <c r="V654" s="1009"/>
      <c r="W654" s="199"/>
      <c r="X654" s="199"/>
      <c r="Y654" s="199"/>
      <c r="Z654" s="199"/>
      <c r="AA654" s="1009"/>
      <c r="AB654" s="199"/>
      <c r="AC654" s="199"/>
      <c r="AD654" s="199"/>
      <c r="AE654" s="199"/>
      <c r="AF654" s="1009"/>
      <c r="AG654" s="199"/>
      <c r="AH654" s="199"/>
      <c r="AI654" s="199"/>
      <c r="AJ654" s="199"/>
      <c r="AK654" s="1009"/>
      <c r="AL654" s="199"/>
      <c r="AM654" s="199"/>
      <c r="AN654" s="199"/>
      <c r="AO654" s="199"/>
      <c r="AP654" s="1009"/>
      <c r="AQ654" s="199"/>
      <c r="AR654" s="199"/>
      <c r="AS654" s="199"/>
      <c r="AT654" s="199"/>
      <c r="AU654" s="1009"/>
      <c r="AV654" s="199"/>
      <c r="AW654" s="199"/>
      <c r="AX654" s="199"/>
      <c r="AY654" s="199"/>
      <c r="AZ654" s="1009"/>
      <c r="BA654" s="199"/>
      <c r="BB654" s="199"/>
      <c r="BC654" s="199"/>
      <c r="BD654" s="199"/>
      <c r="BE654" s="1009"/>
      <c r="BF654" s="199"/>
      <c r="BG654" s="199"/>
      <c r="BH654" s="554"/>
      <c r="BI654" s="199"/>
      <c r="BJ654" s="1009"/>
      <c r="BK654" s="199"/>
      <c r="BL654" s="199"/>
      <c r="BM654" s="199"/>
      <c r="BN654" s="199"/>
      <c r="BO654" s="1009"/>
      <c r="BP654" s="1009"/>
      <c r="BQ654" s="1009"/>
      <c r="BR654" s="1009"/>
      <c r="BS654" s="423"/>
    </row>
    <row r="655" spans="1:71" s="181" customFormat="1" ht="15">
      <c r="A655" s="69" t="s">
        <v>253</v>
      </c>
      <c r="B655" s="480"/>
      <c r="C655" s="1009"/>
      <c r="D655" s="1009"/>
      <c r="E655" s="1009"/>
      <c r="F655" s="1009"/>
      <c r="G655" s="1009"/>
      <c r="H655" s="199"/>
      <c r="I655" s="199"/>
      <c r="J655" s="199"/>
      <c r="K655" s="199"/>
      <c r="L655" s="1009"/>
      <c r="M655" s="199"/>
      <c r="N655" s="199"/>
      <c r="O655" s="199"/>
      <c r="P655" s="199"/>
      <c r="Q655" s="1009"/>
      <c r="R655" s="199"/>
      <c r="S655" s="199"/>
      <c r="T655" s="199"/>
      <c r="U655" s="199"/>
      <c r="V655" s="1009"/>
      <c r="W655" s="199"/>
      <c r="X655" s="199"/>
      <c r="Y655" s="199"/>
      <c r="Z655" s="199"/>
      <c r="AA655" s="1009"/>
      <c r="AB655" s="199"/>
      <c r="AC655" s="199"/>
      <c r="AD655" s="199"/>
      <c r="AE655" s="199"/>
      <c r="AF655" s="1009"/>
      <c r="AG655" s="199"/>
      <c r="AH655" s="199"/>
      <c r="AI655" s="199"/>
      <c r="AJ655" s="199"/>
      <c r="AK655" s="1009"/>
      <c r="AL655" s="199"/>
      <c r="AM655" s="199"/>
      <c r="AN655" s="199"/>
      <c r="AO655" s="199"/>
      <c r="AP655" s="1009"/>
      <c r="AQ655" s="199"/>
      <c r="AR655" s="199"/>
      <c r="AS655" s="199"/>
      <c r="AT655" s="199"/>
      <c r="AU655" s="1009"/>
      <c r="AV655" s="199"/>
      <c r="AW655" s="199"/>
      <c r="AX655" s="199"/>
      <c r="AY655" s="199"/>
      <c r="AZ655" s="1009"/>
      <c r="BA655" s="199"/>
      <c r="BB655" s="199"/>
      <c r="BC655" s="199"/>
      <c r="BD655" s="199"/>
      <c r="BE655" s="1009"/>
      <c r="BF655" s="199"/>
      <c r="BG655" s="199"/>
      <c r="BH655" s="554"/>
      <c r="BI655" s="199"/>
      <c r="BJ655" s="1009"/>
      <c r="BK655" s="199"/>
      <c r="BL655" s="199"/>
      <c r="BM655" s="199"/>
      <c r="BN655" s="199"/>
      <c r="BO655" s="1009"/>
      <c r="BP655" s="1009"/>
      <c r="BQ655" s="1009"/>
      <c r="BR655" s="1009"/>
      <c r="BS655" s="423"/>
    </row>
    <row r="656" spans="1:71" s="181" customFormat="1" ht="15">
      <c r="A656" s="119" t="s">
        <v>254</v>
      </c>
      <c r="B656" s="462"/>
      <c r="C656" s="1032">
        <v>79</v>
      </c>
      <c r="D656" s="1032">
        <v>68</v>
      </c>
      <c r="E656" s="994"/>
      <c r="F656" s="994"/>
      <c r="G656" s="994"/>
      <c r="H656" s="210"/>
      <c r="I656" s="210"/>
      <c r="J656" s="210"/>
      <c r="K656" s="210"/>
      <c r="L656" s="994"/>
      <c r="M656" s="210"/>
      <c r="N656" s="210"/>
      <c r="O656" s="210"/>
      <c r="P656" s="210"/>
      <c r="Q656" s="994"/>
      <c r="R656" s="210"/>
      <c r="S656" s="210"/>
      <c r="T656" s="210"/>
      <c r="U656" s="210"/>
      <c r="V656" s="994"/>
      <c r="W656" s="210"/>
      <c r="X656" s="210"/>
      <c r="Y656" s="210"/>
      <c r="Z656" s="210"/>
      <c r="AA656" s="994"/>
      <c r="AB656" s="210"/>
      <c r="AC656" s="210"/>
      <c r="AD656" s="210"/>
      <c r="AE656" s="210"/>
      <c r="AF656" s="994"/>
      <c r="AG656" s="210"/>
      <c r="AH656" s="210"/>
      <c r="AI656" s="210"/>
      <c r="AJ656" s="210"/>
      <c r="AK656" s="994"/>
      <c r="AL656" s="210"/>
      <c r="AM656" s="210"/>
      <c r="AN656" s="210"/>
      <c r="AO656" s="210"/>
      <c r="AP656" s="994"/>
      <c r="AQ656" s="210"/>
      <c r="AR656" s="210"/>
      <c r="AS656" s="210"/>
      <c r="AT656" s="210"/>
      <c r="AU656" s="994"/>
      <c r="AV656" s="210"/>
      <c r="AW656" s="210"/>
      <c r="AX656" s="210"/>
      <c r="AY656" s="210"/>
      <c r="AZ656" s="994"/>
      <c r="BA656" s="210"/>
      <c r="BB656" s="210"/>
      <c r="BC656" s="210"/>
      <c r="BD656" s="210"/>
      <c r="BE656" s="994"/>
      <c r="BF656" s="210"/>
      <c r="BG656" s="210"/>
      <c r="BH656" s="553"/>
      <c r="BI656" s="210"/>
      <c r="BJ656" s="994"/>
      <c r="BK656" s="210"/>
      <c r="BL656" s="210"/>
      <c r="BM656" s="210"/>
      <c r="BN656" s="210"/>
      <c r="BO656" s="994"/>
      <c r="BP656" s="994"/>
      <c r="BQ656" s="994"/>
      <c r="BR656" s="994"/>
      <c r="BS656" s="423"/>
    </row>
    <row r="657" spans="1:71" s="24" customFormat="1" ht="15">
      <c r="A657" s="263" t="s">
        <v>255</v>
      </c>
      <c r="B657" s="462"/>
      <c r="C657" s="1032">
        <v>19593</v>
      </c>
      <c r="D657" s="1032">
        <v>20162</v>
      </c>
      <c r="E657" s="1032">
        <v>20732</v>
      </c>
      <c r="F657" s="1032">
        <v>21161</v>
      </c>
      <c r="G657" s="1032">
        <v>21500</v>
      </c>
      <c r="H657" s="924">
        <v>21603</v>
      </c>
      <c r="I657" s="924">
        <v>21694</v>
      </c>
      <c r="J657" s="924">
        <v>21764</v>
      </c>
      <c r="K657" s="265">
        <f>L657</f>
        <v>21843</v>
      </c>
      <c r="L657" s="1032">
        <v>21843</v>
      </c>
      <c r="M657" s="924">
        <v>21982</v>
      </c>
      <c r="N657" s="924">
        <v>22039</v>
      </c>
      <c r="O657" s="924">
        <v>22099</v>
      </c>
      <c r="P657" s="265">
        <f>Q657</f>
        <v>22172</v>
      </c>
      <c r="Q657" s="1032">
        <v>22172</v>
      </c>
      <c r="R657" s="924">
        <v>22269</v>
      </c>
      <c r="S657" s="924">
        <v>22349</v>
      </c>
      <c r="T657" s="924">
        <v>22419</v>
      </c>
      <c r="U657" s="265">
        <f>V657</f>
        <v>22614</v>
      </c>
      <c r="V657" s="1032">
        <v>22614</v>
      </c>
      <c r="W657" s="924">
        <v>22724</v>
      </c>
      <c r="X657" s="924">
        <v>22781</v>
      </c>
      <c r="Y657" s="924">
        <v>22836</v>
      </c>
      <c r="Z657" s="265">
        <f>AA657</f>
        <v>22886</v>
      </c>
      <c r="AA657" s="1032">
        <v>22886</v>
      </c>
      <c r="AB657" s="924">
        <v>22995</v>
      </c>
      <c r="AC657" s="924">
        <v>23040</v>
      </c>
      <c r="AD657" s="924">
        <v>23089</v>
      </c>
      <c r="AE657" s="265">
        <f>AF657</f>
        <v>23144</v>
      </c>
      <c r="AF657" s="1032">
        <v>23144</v>
      </c>
      <c r="AG657" s="924">
        <v>23243</v>
      </c>
      <c r="AH657" s="924">
        <v>23372</v>
      </c>
      <c r="AI657" s="924">
        <v>23432</v>
      </c>
      <c r="AJ657" s="265">
        <f>AK657</f>
        <v>23469</v>
      </c>
      <c r="AK657" s="1032">
        <v>23469</v>
      </c>
      <c r="AL657" s="924">
        <v>23542</v>
      </c>
      <c r="AM657" s="924">
        <v>23606</v>
      </c>
      <c r="AN657" s="924">
        <v>23646</v>
      </c>
      <c r="AO657" s="265">
        <f>AP657</f>
        <v>23743</v>
      </c>
      <c r="AP657" s="1032">
        <v>23743</v>
      </c>
      <c r="AQ657" s="924">
        <v>23905</v>
      </c>
      <c r="AR657" s="924">
        <v>24002</v>
      </c>
      <c r="AS657" s="924">
        <v>24084</v>
      </c>
      <c r="AT657" s="265">
        <f>AU657</f>
        <v>24154</v>
      </c>
      <c r="AU657" s="1032">
        <v>24154</v>
      </c>
      <c r="AV657" s="924">
        <v>24348</v>
      </c>
      <c r="AW657" s="924">
        <v>24419</v>
      </c>
      <c r="AX657" s="924">
        <v>24472</v>
      </c>
      <c r="AY657" s="265">
        <f>AZ657</f>
        <v>24565</v>
      </c>
      <c r="AZ657" s="1032">
        <v>24565</v>
      </c>
      <c r="BA657" s="924">
        <v>24703</v>
      </c>
      <c r="BB657" s="924">
        <v>24776</v>
      </c>
      <c r="BC657" s="924">
        <v>24831</v>
      </c>
      <c r="BD657" s="265">
        <f>BE657</f>
        <v>24906</v>
      </c>
      <c r="BE657" s="1032">
        <v>24906</v>
      </c>
      <c r="BF657" s="924">
        <v>25163</v>
      </c>
      <c r="BG657" s="924">
        <v>25245</v>
      </c>
      <c r="BH657" s="925">
        <v>25339</v>
      </c>
      <c r="BI657" s="210">
        <f>BH657</f>
        <v>25339</v>
      </c>
      <c r="BJ657" s="994">
        <f t="shared" si="1359" ref="BJ657">BI657</f>
        <v>25339</v>
      </c>
      <c r="BK657" s="210">
        <f t="shared" si="1360" ref="BK657:BR657">BJ657</f>
        <v>25339</v>
      </c>
      <c r="BL657" s="210">
        <f t="shared" si="1360"/>
        <v>25339</v>
      </c>
      <c r="BM657" s="210">
        <f t="shared" si="1360"/>
        <v>25339</v>
      </c>
      <c r="BN657" s="210">
        <f t="shared" si="1360"/>
        <v>25339</v>
      </c>
      <c r="BO657" s="994">
        <f t="shared" si="1360"/>
        <v>25339</v>
      </c>
      <c r="BP657" s="994">
        <f t="shared" si="1360"/>
        <v>25339</v>
      </c>
      <c r="BQ657" s="994">
        <f t="shared" si="1360"/>
        <v>25339</v>
      </c>
      <c r="BR657" s="994">
        <f t="shared" si="1360"/>
        <v>25339</v>
      </c>
      <c r="BS657" s="833"/>
    </row>
    <row r="658" spans="1:71" s="24" customFormat="1" ht="15">
      <c r="A658" s="263" t="s">
        <v>256</v>
      </c>
      <c r="B658" s="462"/>
      <c r="C658" s="1032">
        <v>16315</v>
      </c>
      <c r="D658" s="1032">
        <v>18847</v>
      </c>
      <c r="E658" s="1032">
        <v>19579</v>
      </c>
      <c r="F658" s="1032">
        <v>21352</v>
      </c>
      <c r="G658" s="1032">
        <v>24291</v>
      </c>
      <c r="H658" s="924">
        <v>25167</v>
      </c>
      <c r="I658" s="924">
        <v>25662</v>
      </c>
      <c r="J658" s="924">
        <v>26394</v>
      </c>
      <c r="K658" s="265">
        <f>L658</f>
        <v>27251</v>
      </c>
      <c r="L658" s="1032">
        <v>27251</v>
      </c>
      <c r="M658" s="924">
        <v>27906</v>
      </c>
      <c r="N658" s="924">
        <v>28524</v>
      </c>
      <c r="O658" s="924">
        <v>29263</v>
      </c>
      <c r="P658" s="265">
        <f>Q658</f>
        <v>29945</v>
      </c>
      <c r="Q658" s="1032">
        <v>29945</v>
      </c>
      <c r="R658" s="924">
        <v>30454</v>
      </c>
      <c r="S658" s="924">
        <v>30921</v>
      </c>
      <c r="T658" s="924">
        <v>31443</v>
      </c>
      <c r="U658" s="265">
        <f>V658</f>
        <v>32196</v>
      </c>
      <c r="V658" s="1032">
        <v>32196</v>
      </c>
      <c r="W658" s="924">
        <v>32623</v>
      </c>
      <c r="X658" s="924">
        <v>33016</v>
      </c>
      <c r="Y658" s="924">
        <v>33110</v>
      </c>
      <c r="Z658" s="210">
        <f>AA658</f>
        <v>33462</v>
      </c>
      <c r="AA658" s="1032">
        <v>33462</v>
      </c>
      <c r="AB658" s="924">
        <v>33981</v>
      </c>
      <c r="AC658" s="924">
        <v>34296</v>
      </c>
      <c r="AD658" s="924">
        <v>34799</v>
      </c>
      <c r="AE658" s="210">
        <f>AF658</f>
        <v>35204</v>
      </c>
      <c r="AF658" s="1032">
        <v>35204</v>
      </c>
      <c r="AG658" s="924">
        <v>35795</v>
      </c>
      <c r="AH658" s="924">
        <v>36135</v>
      </c>
      <c r="AI658" s="924">
        <v>36317</v>
      </c>
      <c r="AJ658" s="210">
        <f>AK658</f>
        <v>36977</v>
      </c>
      <c r="AK658" s="1032">
        <v>36977</v>
      </c>
      <c r="AL658" s="924">
        <v>37325</v>
      </c>
      <c r="AM658" s="924">
        <v>37069</v>
      </c>
      <c r="AN658" s="924">
        <v>37679</v>
      </c>
      <c r="AO658" s="210">
        <f>AP658</f>
        <v>38771</v>
      </c>
      <c r="AP658" s="1032">
        <v>38771</v>
      </c>
      <c r="AQ658" s="924">
        <v>39285</v>
      </c>
      <c r="AR658" s="924">
        <v>39998</v>
      </c>
      <c r="AS658" s="924">
        <v>40438</v>
      </c>
      <c r="AT658" s="210">
        <f>AU658</f>
        <v>41555</v>
      </c>
      <c r="AU658" s="1032">
        <v>41555</v>
      </c>
      <c r="AV658" s="924">
        <v>42359</v>
      </c>
      <c r="AW658" s="924">
        <v>42684</v>
      </c>
      <c r="AX658" s="924">
        <v>42917</v>
      </c>
      <c r="AY658" s="210">
        <f>AZ658</f>
        <v>43516</v>
      </c>
      <c r="AZ658" s="1032">
        <v>43516</v>
      </c>
      <c r="BA658" s="924">
        <v>44273</v>
      </c>
      <c r="BB658" s="924">
        <v>44026</v>
      </c>
      <c r="BC658" s="924">
        <v>44198</v>
      </c>
      <c r="BD658" s="210">
        <f>BE658</f>
        <v>45591</v>
      </c>
      <c r="BE658" s="1032">
        <v>45591</v>
      </c>
      <c r="BF658" s="924">
        <v>46483</v>
      </c>
      <c r="BG658" s="924">
        <v>46773</v>
      </c>
      <c r="BH658" s="925">
        <v>47789</v>
      </c>
      <c r="BI658" s="210">
        <f ca="1">BH658+BI571+BI606-BI408</f>
        <v>49000.003097030072</v>
      </c>
      <c r="BJ658" s="994">
        <f ca="1">BI658</f>
        <v>49000.003097030072</v>
      </c>
      <c r="BK658" s="210">
        <f ca="1">BJ658+BK571+BK606-BK408</f>
        <v>50063.415774252484</v>
      </c>
      <c r="BL658" s="210">
        <f ca="1">BK658+BL571+BL606-BL408</f>
        <v>50709.162769423718</v>
      </c>
      <c r="BM658" s="210">
        <f ca="1">BL658+BM571+BM606-BM408</f>
        <v>51549.000256469291</v>
      </c>
      <c r="BN658" s="210">
        <f ca="1">BM658+BN571+BN606-BN408</f>
        <v>52832.486032116336</v>
      </c>
      <c r="BO658" s="994">
        <f ca="1">BN658</f>
        <v>52832.486032116336</v>
      </c>
      <c r="BP658" s="994">
        <f ca="1">BO658+BP571+BP606-BP408</f>
        <v>57131.931142652014</v>
      </c>
      <c r="BQ658" s="994">
        <f ca="1">BP658+BQ571+BQ606-BQ408</f>
        <v>61821.234470314099</v>
      </c>
      <c r="BR658" s="994">
        <f ca="1">BQ658+BR571+BR606-BR408</f>
        <v>66013.680245735683</v>
      </c>
      <c r="BS658" s="833"/>
    </row>
    <row r="659" spans="1:71" s="24" customFormat="1" ht="15">
      <c r="A659" s="263" t="s">
        <v>257</v>
      </c>
      <c r="B659" s="462"/>
      <c r="C659" s="1032">
        <v>1219</v>
      </c>
      <c r="D659" s="1032">
        <v>1255</v>
      </c>
      <c r="E659" s="1032">
        <v>2005</v>
      </c>
      <c r="F659" s="1032">
        <v>2236</v>
      </c>
      <c r="G659" s="1032">
        <v>810</v>
      </c>
      <c r="H659" s="924">
        <v>1127</v>
      </c>
      <c r="I659" s="924">
        <v>1562</v>
      </c>
      <c r="J659" s="924">
        <v>1300</v>
      </c>
      <c r="K659" s="265">
        <f>L659</f>
        <v>880</v>
      </c>
      <c r="L659" s="1032">
        <v>880</v>
      </c>
      <c r="M659" s="924">
        <v>769</v>
      </c>
      <c r="N659" s="924">
        <v>169</v>
      </c>
      <c r="O659" s="924">
        <v>32</v>
      </c>
      <c r="P659" s="265">
        <f>Q659</f>
        <v>-157</v>
      </c>
      <c r="Q659" s="1032">
        <v>-157</v>
      </c>
      <c r="R659" s="924">
        <v>414</v>
      </c>
      <c r="S659" s="924">
        <v>965</v>
      </c>
      <c r="T659" s="924">
        <v>660</v>
      </c>
      <c r="U659" s="265">
        <f>V659</f>
        <v>-755</v>
      </c>
      <c r="V659" s="1032">
        <v>-755</v>
      </c>
      <c r="W659" s="924">
        <v>-615</v>
      </c>
      <c r="X659" s="924">
        <v>-344</v>
      </c>
      <c r="Y659" s="924">
        <v>-285</v>
      </c>
      <c r="Z659" s="210">
        <f>AA659</f>
        <v>-343</v>
      </c>
      <c r="AA659" s="1032">
        <v>-343</v>
      </c>
      <c r="AB659" s="924">
        <v>-1322</v>
      </c>
      <c r="AC659" s="924">
        <v>-1688</v>
      </c>
      <c r="AD659" s="924">
        <v>-2003</v>
      </c>
      <c r="AE659" s="210">
        <f>AF659</f>
        <v>-1859</v>
      </c>
      <c r="AF659" s="1032">
        <v>-1859</v>
      </c>
      <c r="AG659" s="924">
        <v>-682</v>
      </c>
      <c r="AH659" s="924">
        <v>206</v>
      </c>
      <c r="AI659" s="924">
        <v>625</v>
      </c>
      <c r="AJ659" s="210">
        <f>AK659</f>
        <v>640</v>
      </c>
      <c r="AK659" s="1032">
        <v>640</v>
      </c>
      <c r="AL659" s="924">
        <v>-49</v>
      </c>
      <c r="AM659" s="924">
        <v>1882</v>
      </c>
      <c r="AN659" s="924">
        <v>2138</v>
      </c>
      <c r="AO659" s="210">
        <f>AP659</f>
        <v>2502</v>
      </c>
      <c r="AP659" s="1032">
        <v>2502</v>
      </c>
      <c r="AQ659" s="924">
        <v>1291</v>
      </c>
      <c r="AR659" s="924">
        <v>1769</v>
      </c>
      <c r="AS659" s="924">
        <v>1166</v>
      </c>
      <c r="AT659" s="210">
        <f>AU659</f>
        <v>1193</v>
      </c>
      <c r="AU659" s="1032">
        <v>1193</v>
      </c>
      <c r="AV659" s="924">
        <v>-2602</v>
      </c>
      <c r="AW659" s="924">
        <v>-5155</v>
      </c>
      <c r="AX659" s="924">
        <v>-7908</v>
      </c>
      <c r="AY659" s="210">
        <f>AZ659</f>
        <v>-6445</v>
      </c>
      <c r="AZ659" s="1032">
        <v>-6445</v>
      </c>
      <c r="BA659" s="924">
        <v>-5386</v>
      </c>
      <c r="BB659" s="924">
        <v>-6009</v>
      </c>
      <c r="BC659" s="924">
        <v>-8012</v>
      </c>
      <c r="BD659" s="210">
        <f>BE659</f>
        <v>-4471</v>
      </c>
      <c r="BE659" s="1032">
        <v>-4471</v>
      </c>
      <c r="BF659" s="924">
        <v>-5131</v>
      </c>
      <c r="BG659" s="924">
        <v>-5410</v>
      </c>
      <c r="BH659" s="925">
        <v>-3433</v>
      </c>
      <c r="BI659" s="210">
        <f>BH659</f>
        <v>-3433</v>
      </c>
      <c r="BJ659" s="994">
        <f>BI659</f>
        <v>-3433</v>
      </c>
      <c r="BK659" s="210">
        <f>BJ659</f>
        <v>-3433</v>
      </c>
      <c r="BL659" s="210">
        <f>BK659</f>
        <v>-3433</v>
      </c>
      <c r="BM659" s="210">
        <f>BL659</f>
        <v>-3433</v>
      </c>
      <c r="BN659" s="210">
        <f>BM659</f>
        <v>-3433</v>
      </c>
      <c r="BO659" s="994">
        <f>BN659</f>
        <v>-3433</v>
      </c>
      <c r="BP659" s="994">
        <f>BO659</f>
        <v>-3433</v>
      </c>
      <c r="BQ659" s="994">
        <f>BP659</f>
        <v>-3433</v>
      </c>
      <c r="BR659" s="994">
        <f>BQ659</f>
        <v>-3433</v>
      </c>
      <c r="BS659" s="833"/>
    </row>
    <row r="660" spans="1:71" s="24" customFormat="1" ht="15">
      <c r="A660" s="60" t="s">
        <v>258</v>
      </c>
      <c r="B660" s="478"/>
      <c r="C660" s="1033">
        <v>-9791</v>
      </c>
      <c r="D660" s="1033">
        <v>-14857</v>
      </c>
      <c r="E660" s="1033">
        <v>-17839</v>
      </c>
      <c r="F660" s="1033">
        <v>-19344</v>
      </c>
      <c r="G660" s="1033">
        <v>-21805</v>
      </c>
      <c r="H660" s="927">
        <v>-22510</v>
      </c>
      <c r="I660" s="927">
        <v>-23386</v>
      </c>
      <c r="J660" s="927">
        <v>-24137</v>
      </c>
      <c r="K660" s="186">
        <f>L660</f>
        <v>-25138</v>
      </c>
      <c r="L660" s="1033">
        <v>-25138</v>
      </c>
      <c r="M660" s="927">
        <v>-25810</v>
      </c>
      <c r="N660" s="927">
        <v>-26611</v>
      </c>
      <c r="O660" s="927">
        <v>-27361</v>
      </c>
      <c r="P660" s="186">
        <f>Q660</f>
        <v>-28362</v>
      </c>
      <c r="Q660" s="1033">
        <v>-28362</v>
      </c>
      <c r="R660" s="927">
        <v>-28971</v>
      </c>
      <c r="S660" s="927">
        <v>-29521</v>
      </c>
      <c r="T660" s="927">
        <v>-30083</v>
      </c>
      <c r="U660" s="186">
        <f>V660</f>
        <v>-30834</v>
      </c>
      <c r="V660" s="1033">
        <v>-30834</v>
      </c>
      <c r="W660" s="927">
        <v>-31120</v>
      </c>
      <c r="X660" s="927">
        <v>-31595</v>
      </c>
      <c r="Y660" s="927">
        <v>-31923</v>
      </c>
      <c r="Z660" s="205">
        <f>AA660</f>
        <v>-32274</v>
      </c>
      <c r="AA660" s="1033">
        <v>-32274</v>
      </c>
      <c r="AB660" s="927">
        <v>-32675</v>
      </c>
      <c r="AC660" s="927">
        <v>-33025</v>
      </c>
      <c r="AD660" s="927">
        <v>-33425</v>
      </c>
      <c r="AE660" s="205">
        <f>AF660</f>
        <v>-33595</v>
      </c>
      <c r="AF660" s="1033">
        <v>-33595</v>
      </c>
      <c r="AG660" s="927">
        <v>-34016</v>
      </c>
      <c r="AH660" s="927">
        <v>-34392</v>
      </c>
      <c r="AI660" s="927">
        <v>-34767</v>
      </c>
      <c r="AJ660" s="205">
        <f>AK660</f>
        <v>-35143</v>
      </c>
      <c r="AK660" s="1033">
        <v>-35143</v>
      </c>
      <c r="AL660" s="927">
        <v>-35614</v>
      </c>
      <c r="AM660" s="927">
        <v>-35614</v>
      </c>
      <c r="AN660" s="927">
        <v>-35614</v>
      </c>
      <c r="AO660" s="205">
        <f>AP660</f>
        <v>-35815</v>
      </c>
      <c r="AP660" s="1033">
        <v>-35815</v>
      </c>
      <c r="AQ660" s="927">
        <v>-36212</v>
      </c>
      <c r="AR660" s="927">
        <v>-36613</v>
      </c>
      <c r="AS660" s="927">
        <v>-37214</v>
      </c>
      <c r="AT660" s="205">
        <f>AU660</f>
        <v>-38015</v>
      </c>
      <c r="AU660" s="1033">
        <v>-38015</v>
      </c>
      <c r="AV660" s="927">
        <v>-38574</v>
      </c>
      <c r="AW660" s="927">
        <v>-39074</v>
      </c>
      <c r="AX660" s="927">
        <v>-39575</v>
      </c>
      <c r="AY660" s="205">
        <f>AZ660</f>
        <v>-40076</v>
      </c>
      <c r="AZ660" s="1033">
        <v>-40076</v>
      </c>
      <c r="BA660" s="927">
        <v>-40538</v>
      </c>
      <c r="BB660" s="927">
        <v>-40938</v>
      </c>
      <c r="BC660" s="927">
        <v>-41039</v>
      </c>
      <c r="BD660" s="205">
        <f>BE660</f>
        <v>-41105</v>
      </c>
      <c r="BE660" s="1033">
        <v>-41105</v>
      </c>
      <c r="BF660" s="927">
        <v>-41493</v>
      </c>
      <c r="BG660" s="927">
        <v>-41746</v>
      </c>
      <c r="BH660" s="928">
        <v>-41999</v>
      </c>
      <c r="BI660" s="205">
        <f>BH660+BI604</f>
        <v>-41999</v>
      </c>
      <c r="BJ660" s="996">
        <f>BI660</f>
        <v>-41999</v>
      </c>
      <c r="BK660" s="205">
        <f>BJ660+BK604</f>
        <v>-41999</v>
      </c>
      <c r="BL660" s="205">
        <f>BK660+BL604</f>
        <v>-41999</v>
      </c>
      <c r="BM660" s="205">
        <f>BL660+BM604</f>
        <v>-41999</v>
      </c>
      <c r="BN660" s="205">
        <f>BM660+BN604</f>
        <v>-41999</v>
      </c>
      <c r="BO660" s="996">
        <f>BN660</f>
        <v>-41999</v>
      </c>
      <c r="BP660" s="996">
        <f>BO660+BP604</f>
        <v>-41999</v>
      </c>
      <c r="BQ660" s="996">
        <f>BP660+BQ604</f>
        <v>-41999</v>
      </c>
      <c r="BR660" s="996">
        <f>BQ660+BR604</f>
        <v>-41999</v>
      </c>
      <c r="BS660" s="833"/>
    </row>
    <row r="661" spans="1:71" s="181" customFormat="1" ht="15">
      <c r="A661" s="62" t="s">
        <v>259</v>
      </c>
      <c r="B661" s="479"/>
      <c r="C661" s="997">
        <f t="shared" si="1361" ref="C661:AM661">SUM(C656:C660)</f>
        <v>27415</v>
      </c>
      <c r="D661" s="997">
        <f t="shared" si="1361"/>
        <v>25475</v>
      </c>
      <c r="E661" s="997">
        <f t="shared" si="1361"/>
        <v>24477</v>
      </c>
      <c r="F661" s="997">
        <f t="shared" si="1361"/>
        <v>25405</v>
      </c>
      <c r="G661" s="997">
        <f t="shared" si="1361"/>
        <v>24796</v>
      </c>
      <c r="H661" s="193">
        <f t="shared" si="1361"/>
        <v>25387</v>
      </c>
      <c r="I661" s="193">
        <f t="shared" si="1361"/>
        <v>25532</v>
      </c>
      <c r="J661" s="193">
        <f t="shared" si="1361"/>
        <v>25321</v>
      </c>
      <c r="K661" s="193">
        <f t="shared" si="1361"/>
        <v>24836</v>
      </c>
      <c r="L661" s="997">
        <f t="shared" si="1361"/>
        <v>24836</v>
      </c>
      <c r="M661" s="193">
        <f t="shared" si="1361"/>
        <v>24847</v>
      </c>
      <c r="N661" s="193">
        <f t="shared" si="1361"/>
        <v>24121</v>
      </c>
      <c r="O661" s="193">
        <f t="shared" si="1361"/>
        <v>24033</v>
      </c>
      <c r="P661" s="193">
        <f t="shared" si="1361"/>
        <v>23598</v>
      </c>
      <c r="Q661" s="997">
        <f t="shared" si="1361"/>
        <v>23598</v>
      </c>
      <c r="R661" s="193">
        <f t="shared" si="1361"/>
        <v>24166</v>
      </c>
      <c r="S661" s="193">
        <f t="shared" si="1361"/>
        <v>24714</v>
      </c>
      <c r="T661" s="193">
        <f t="shared" si="1361"/>
        <v>24439</v>
      </c>
      <c r="U661" s="193">
        <f t="shared" si="1361"/>
        <v>23221</v>
      </c>
      <c r="V661" s="997">
        <f t="shared" si="1361"/>
        <v>23221</v>
      </c>
      <c r="W661" s="193">
        <f t="shared" si="1361"/>
        <v>23612</v>
      </c>
      <c r="X661" s="193">
        <f t="shared" si="1361"/>
        <v>23858</v>
      </c>
      <c r="Y661" s="193">
        <f t="shared" si="1361"/>
        <v>23738</v>
      </c>
      <c r="Z661" s="193">
        <f t="shared" si="1361"/>
        <v>23731</v>
      </c>
      <c r="AA661" s="997">
        <f t="shared" si="1361"/>
        <v>23731</v>
      </c>
      <c r="AB661" s="193">
        <f t="shared" si="1361"/>
        <v>22979</v>
      </c>
      <c r="AC661" s="193">
        <f t="shared" si="1361"/>
        <v>22623</v>
      </c>
      <c r="AD661" s="193">
        <f t="shared" si="1361"/>
        <v>22460</v>
      </c>
      <c r="AE661" s="193">
        <f t="shared" si="1361"/>
        <v>22894</v>
      </c>
      <c r="AF661" s="997">
        <f t="shared" si="1361"/>
        <v>22894</v>
      </c>
      <c r="AG661" s="193">
        <f t="shared" si="1361"/>
        <v>24340</v>
      </c>
      <c r="AH661" s="193">
        <f t="shared" si="1361"/>
        <v>25321</v>
      </c>
      <c r="AI661" s="193">
        <f t="shared" si="1361"/>
        <v>25607</v>
      </c>
      <c r="AJ661" s="193">
        <f t="shared" si="1361"/>
        <v>25943</v>
      </c>
      <c r="AK661" s="997">
        <f t="shared" si="1361"/>
        <v>25943</v>
      </c>
      <c r="AL661" s="193">
        <f t="shared" si="1361"/>
        <v>25204</v>
      </c>
      <c r="AM661" s="193">
        <f t="shared" si="1361"/>
        <v>26943</v>
      </c>
      <c r="AN661" s="193">
        <f>SUM(AN656:AN660)</f>
        <v>27849</v>
      </c>
      <c r="AO661" s="193">
        <f t="shared" si="1362" ref="AO661:AP661">SUM(AO656:AO660)</f>
        <v>29201</v>
      </c>
      <c r="AP661" s="997">
        <f t="shared" si="1362"/>
        <v>29201</v>
      </c>
      <c r="AQ661" s="193">
        <f t="shared" si="1363" ref="AQ661">SUM(AQ656:AQ660)</f>
        <v>28269</v>
      </c>
      <c r="AR661" s="193">
        <f t="shared" si="1364" ref="AR661:AW661">SUM(AR656:AR660)</f>
        <v>29156</v>
      </c>
      <c r="AS661" s="193">
        <f t="shared" si="1364"/>
        <v>28474</v>
      </c>
      <c r="AT661" s="193">
        <f t="shared" si="1364"/>
        <v>28887</v>
      </c>
      <c r="AU661" s="997">
        <f t="shared" si="1364"/>
        <v>28887</v>
      </c>
      <c r="AV661" s="193">
        <f t="shared" si="1364"/>
        <v>25531</v>
      </c>
      <c r="AW661" s="193">
        <f t="shared" si="1364"/>
        <v>22874</v>
      </c>
      <c r="AX661" s="193">
        <f t="shared" si="1365" ref="AX661:BJ661">SUM(AX656:AX660)</f>
        <v>19906</v>
      </c>
      <c r="AY661" s="193">
        <f t="shared" si="1365"/>
        <v>21560</v>
      </c>
      <c r="AZ661" s="997">
        <f t="shared" si="1365"/>
        <v>21560</v>
      </c>
      <c r="BA661" s="193">
        <f t="shared" si="1366" ref="BA661:BI661">SUM(BA656:BA660)</f>
        <v>23052</v>
      </c>
      <c r="BB661" s="193">
        <f t="shared" si="1366"/>
        <v>21855</v>
      </c>
      <c r="BC661" s="193">
        <f t="shared" si="1366"/>
        <v>19978</v>
      </c>
      <c r="BD661" s="193">
        <f t="shared" si="1366"/>
        <v>24921</v>
      </c>
      <c r="BE661" s="997">
        <f t="shared" si="1366"/>
        <v>24921</v>
      </c>
      <c r="BF661" s="193">
        <f>SUM(BF656:BF660)</f>
        <v>25022</v>
      </c>
      <c r="BG661" s="193">
        <f>SUM(BG656:BG660)</f>
        <v>24862</v>
      </c>
      <c r="BH661" s="747">
        <f>SUM(BH656:BH660)</f>
        <v>27696</v>
      </c>
      <c r="BI661" s="194">
        <f t="shared" ca="1" si="1366"/>
        <v>28907.003097030072</v>
      </c>
      <c r="BJ661" s="998">
        <f t="shared" ca="1" si="1365"/>
        <v>28907.003097030072</v>
      </c>
      <c r="BK661" s="194">
        <f ca="1" t="shared" si="1367" ref="BK661:BR661">SUM(BK656:BK660)</f>
        <v>29970.415774252484</v>
      </c>
      <c r="BL661" s="194">
        <f t="shared" ca="1" si="1367"/>
        <v>30616.16276942371</v>
      </c>
      <c r="BM661" s="194">
        <f t="shared" ca="1" si="1367"/>
        <v>31456.000256469299</v>
      </c>
      <c r="BN661" s="194">
        <f t="shared" ca="1" si="1367"/>
        <v>32739.486032116343</v>
      </c>
      <c r="BO661" s="998">
        <f t="shared" ca="1" si="1367"/>
        <v>32739.486032116343</v>
      </c>
      <c r="BP661" s="998">
        <f t="shared" ca="1" si="1367"/>
        <v>37038.931142652014</v>
      </c>
      <c r="BQ661" s="998">
        <f t="shared" ca="1" si="1367"/>
        <v>41728.234470314099</v>
      </c>
      <c r="BR661" s="998">
        <f t="shared" ca="1" si="1367"/>
        <v>45920.680245735683</v>
      </c>
      <c r="BS661" s="423"/>
    </row>
    <row r="662" spans="1:71" s="24" customFormat="1" ht="15">
      <c r="A662" s="263" t="s">
        <v>260</v>
      </c>
      <c r="B662" s="462"/>
      <c r="C662" s="994"/>
      <c r="D662" s="994"/>
      <c r="E662" s="994"/>
      <c r="F662" s="994"/>
      <c r="G662" s="994"/>
      <c r="H662" s="210"/>
      <c r="I662" s="210"/>
      <c r="J662" s="210"/>
      <c r="K662" s="265">
        <f>L662</f>
        <v>0</v>
      </c>
      <c r="L662" s="994"/>
      <c r="M662" s="210"/>
      <c r="N662" s="210"/>
      <c r="O662" s="210"/>
      <c r="P662" s="265">
        <f>Q662</f>
        <v>0</v>
      </c>
      <c r="Q662" s="994"/>
      <c r="R662" s="210"/>
      <c r="S662" s="210"/>
      <c r="T662" s="210"/>
      <c r="U662" s="265">
        <f>V662</f>
        <v>0</v>
      </c>
      <c r="V662" s="994"/>
      <c r="W662" s="210"/>
      <c r="X662" s="210"/>
      <c r="Y662" s="210"/>
      <c r="Z662" s="265">
        <f>AA662</f>
        <v>0</v>
      </c>
      <c r="AA662" s="994"/>
      <c r="AB662" s="210"/>
      <c r="AC662" s="210"/>
      <c r="AD662" s="210"/>
      <c r="AE662" s="265">
        <f>AF662</f>
        <v>0</v>
      </c>
      <c r="AF662" s="994"/>
      <c r="AG662" s="210"/>
      <c r="AH662" s="210"/>
      <c r="AI662" s="210"/>
      <c r="AJ662" s="265">
        <f>AK662</f>
        <v>0</v>
      </c>
      <c r="AK662" s="994"/>
      <c r="AL662" s="210"/>
      <c r="AM662" s="210"/>
      <c r="AN662" s="210"/>
      <c r="AO662" s="265">
        <f>AP662</f>
        <v>0</v>
      </c>
      <c r="AP662" s="994"/>
      <c r="AQ662" s="210"/>
      <c r="AR662" s="210"/>
      <c r="AS662" s="210"/>
      <c r="AT662" s="265">
        <f>AU662</f>
        <v>0</v>
      </c>
      <c r="AU662" s="994"/>
      <c r="AV662" s="210"/>
      <c r="AW662" s="210"/>
      <c r="AX662" s="210"/>
      <c r="AY662" s="265">
        <f>AZ662</f>
        <v>0</v>
      </c>
      <c r="AZ662" s="994"/>
      <c r="BA662" s="210"/>
      <c r="BB662" s="210"/>
      <c r="BC662" s="210"/>
      <c r="BD662" s="265">
        <f>BE662</f>
        <v>0</v>
      </c>
      <c r="BE662" s="994"/>
      <c r="BF662" s="210"/>
      <c r="BG662" s="210"/>
      <c r="BH662" s="553"/>
      <c r="BI662" s="210">
        <f>BH662+BI408</f>
        <v>0</v>
      </c>
      <c r="BJ662" s="994">
        <f>BI662</f>
        <v>0</v>
      </c>
      <c r="BK662" s="210">
        <f>BJ662+BK408</f>
        <v>0</v>
      </c>
      <c r="BL662" s="210">
        <f>BK662+BL408</f>
        <v>0</v>
      </c>
      <c r="BM662" s="210">
        <f>BL662+BM408</f>
        <v>0</v>
      </c>
      <c r="BN662" s="210">
        <f>BM662+BN408</f>
        <v>0</v>
      </c>
      <c r="BO662" s="994">
        <f>BN662</f>
        <v>0</v>
      </c>
      <c r="BP662" s="994">
        <f>BO662+BP408</f>
        <v>0</v>
      </c>
      <c r="BQ662" s="994">
        <f>BP662+BQ408</f>
        <v>0</v>
      </c>
      <c r="BR662" s="994">
        <f>BQ662+BR408</f>
        <v>0</v>
      </c>
      <c r="BS662" s="833"/>
    </row>
    <row r="663" spans="1:71" s="181" customFormat="1" ht="15">
      <c r="A663" s="183" t="s">
        <v>261</v>
      </c>
      <c r="B663" s="480"/>
      <c r="C663" s="1008">
        <f t="shared" si="1368" ref="C663:AM663">C661+C653+C662</f>
        <v>109560</v>
      </c>
      <c r="D663" s="1008">
        <f t="shared" si="1368"/>
        <v>105656</v>
      </c>
      <c r="E663" s="1008">
        <f t="shared" si="1368"/>
        <v>104575</v>
      </c>
      <c r="F663" s="1008">
        <f t="shared" si="1368"/>
        <v>104938</v>
      </c>
      <c r="G663" s="1008">
        <f t="shared" si="1368"/>
        <v>103812</v>
      </c>
      <c r="H663" s="185">
        <f t="shared" si="1368"/>
        <v>104134</v>
      </c>
      <c r="I663" s="185">
        <f t="shared" si="1368"/>
        <v>104811</v>
      </c>
      <c r="J663" s="185">
        <f t="shared" si="1368"/>
        <v>104522</v>
      </c>
      <c r="K663" s="185">
        <f t="shared" si="1368"/>
        <v>103078</v>
      </c>
      <c r="L663" s="1008">
        <f t="shared" si="1368"/>
        <v>103078</v>
      </c>
      <c r="M663" s="185">
        <f t="shared" si="1368"/>
        <v>102691</v>
      </c>
      <c r="N663" s="185">
        <f t="shared" si="1368"/>
        <v>101664</v>
      </c>
      <c r="O663" s="185">
        <f t="shared" si="1368"/>
        <v>102110</v>
      </c>
      <c r="P663" s="185">
        <f t="shared" si="1368"/>
        <v>100184</v>
      </c>
      <c r="Q663" s="1008">
        <f t="shared" si="1368"/>
        <v>100184</v>
      </c>
      <c r="R663" s="185">
        <f t="shared" si="1368"/>
        <v>101680</v>
      </c>
      <c r="S663" s="185">
        <f t="shared" si="1368"/>
        <v>102446</v>
      </c>
      <c r="T663" s="185">
        <f t="shared" si="1368"/>
        <v>102787</v>
      </c>
      <c r="U663" s="185">
        <f t="shared" si="1368"/>
        <v>100245</v>
      </c>
      <c r="V663" s="1008">
        <f t="shared" si="1368"/>
        <v>100245</v>
      </c>
      <c r="W663" s="185">
        <f t="shared" si="1368"/>
        <v>101246</v>
      </c>
      <c r="X663" s="185">
        <f t="shared" si="1368"/>
        <v>102669</v>
      </c>
      <c r="Y663" s="185">
        <f t="shared" si="1368"/>
        <v>104311</v>
      </c>
      <c r="Z663" s="185">
        <f t="shared" si="1368"/>
        <v>103483</v>
      </c>
      <c r="AA663" s="1008">
        <f t="shared" si="1368"/>
        <v>103483</v>
      </c>
      <c r="AB663" s="185">
        <f t="shared" si="1368"/>
        <v>103676</v>
      </c>
      <c r="AC663" s="185">
        <f t="shared" si="1368"/>
        <v>103523</v>
      </c>
      <c r="AD663" s="185">
        <f t="shared" si="1368"/>
        <v>104390</v>
      </c>
      <c r="AE663" s="185">
        <f t="shared" si="1368"/>
        <v>104233</v>
      </c>
      <c r="AF663" s="1008">
        <f t="shared" si="1368"/>
        <v>104233</v>
      </c>
      <c r="AG663" s="185">
        <f t="shared" si="1368"/>
        <v>107246</v>
      </c>
      <c r="AH663" s="185">
        <f t="shared" si="1368"/>
        <v>108572</v>
      </c>
      <c r="AI663" s="185">
        <f t="shared" si="1368"/>
        <v>110241</v>
      </c>
      <c r="AJ663" s="185">
        <f t="shared" si="1368"/>
        <v>110122</v>
      </c>
      <c r="AK663" s="1008">
        <f t="shared" si="1368"/>
        <v>110122</v>
      </c>
      <c r="AL663" s="185">
        <f t="shared" si="1368"/>
        <v>109436</v>
      </c>
      <c r="AM663" s="185">
        <f t="shared" si="1368"/>
        <v>113337</v>
      </c>
      <c r="AN663" s="185">
        <f>AN661+AN653+AN662</f>
        <v>116384</v>
      </c>
      <c r="AO663" s="185">
        <f t="shared" si="1369" ref="AO663:AQ663">AO661+AO653+AO662</f>
        <v>116764</v>
      </c>
      <c r="AP663" s="1008">
        <f t="shared" si="1369"/>
        <v>116764</v>
      </c>
      <c r="AQ663" s="185">
        <f t="shared" si="1369"/>
        <v>117032</v>
      </c>
      <c r="AR663" s="185">
        <f t="shared" si="1370" ref="AR663:AW663">AR661+AR653+AR662</f>
        <v>119759</v>
      </c>
      <c r="AS663" s="185">
        <f t="shared" si="1370"/>
        <v>120706</v>
      </c>
      <c r="AT663" s="185">
        <f t="shared" si="1370"/>
        <v>120466</v>
      </c>
      <c r="AU663" s="1008">
        <f t="shared" si="1370"/>
        <v>120466</v>
      </c>
      <c r="AV663" s="185">
        <f t="shared" si="1370"/>
        <v>118592</v>
      </c>
      <c r="AW663" s="185">
        <f t="shared" si="1370"/>
        <v>116587</v>
      </c>
      <c r="AX663" s="185">
        <f t="shared" si="1371" ref="AX663:BJ663">AX661+AX653+AX662</f>
        <v>114317</v>
      </c>
      <c r="AY663" s="185">
        <f t="shared" si="1371"/>
        <v>115717</v>
      </c>
      <c r="AZ663" s="1008">
        <f t="shared" si="1371"/>
        <v>115717</v>
      </c>
      <c r="BA663" s="185">
        <f t="shared" si="1372" ref="BA663:BI663">BA661+BA653+BA662</f>
        <v>118352</v>
      </c>
      <c r="BB663" s="185">
        <f t="shared" si="1372"/>
        <v>120573</v>
      </c>
      <c r="BC663" s="185">
        <f t="shared" si="1372"/>
        <v>121384</v>
      </c>
      <c r="BD663" s="185">
        <f t="shared" si="1372"/>
        <v>125978</v>
      </c>
      <c r="BE663" s="1008">
        <f t="shared" si="1372"/>
        <v>125978</v>
      </c>
      <c r="BF663" s="185">
        <f>BF661+BF653+BF662</f>
        <v>127410</v>
      </c>
      <c r="BG663" s="185">
        <f>BG661+BG653+BG662</f>
        <v>129315</v>
      </c>
      <c r="BH663" s="749">
        <f>BH661+BH653+BH662</f>
        <v>134588</v>
      </c>
      <c r="BI663" s="199">
        <f t="shared" ca="1" si="1372"/>
        <v>136961.59909377131</v>
      </c>
      <c r="BJ663" s="1009">
        <f t="shared" ca="1" si="1371"/>
        <v>136961.59909377131</v>
      </c>
      <c r="BK663" s="199">
        <f ca="1" t="shared" si="1373" ref="BK663:BR663">BK661+BK653+BK662</f>
        <v>139454.99853705865</v>
      </c>
      <c r="BL663" s="199">
        <f t="shared" ca="1" si="1373"/>
        <v>141483.0555851268</v>
      </c>
      <c r="BM663" s="199">
        <f t="shared" ca="1" si="1373"/>
        <v>143708.66911685042</v>
      </c>
      <c r="BN663" s="199">
        <f t="shared" ca="1" si="1373"/>
        <v>146202.65504010138</v>
      </c>
      <c r="BO663" s="1009">
        <f t="shared" ca="1" si="1373"/>
        <v>146202.65504010138</v>
      </c>
      <c r="BP663" s="1009">
        <f t="shared" ca="1" si="1373"/>
        <v>156697.92140305799</v>
      </c>
      <c r="BQ663" s="1009">
        <f t="shared" ca="1" si="1373"/>
        <v>167729.37436574843</v>
      </c>
      <c r="BR663" s="1009">
        <f t="shared" ca="1" si="1373"/>
        <v>178586.0297949831</v>
      </c>
      <c r="BS663" s="423"/>
    </row>
    <row r="664" spans="1:71" s="24" customFormat="1" ht="15">
      <c r="A664" s="828"/>
      <c r="B664" s="828"/>
      <c r="C664" s="210"/>
      <c r="D664" s="210"/>
      <c r="E664" s="210"/>
      <c r="F664" s="210"/>
      <c r="G664" s="210"/>
      <c r="H664" s="210"/>
      <c r="I664" s="210"/>
      <c r="J664" s="210"/>
      <c r="K664" s="210"/>
      <c r="L664" s="210"/>
      <c r="M664" s="210"/>
      <c r="N664" s="210"/>
      <c r="O664" s="210"/>
      <c r="P664" s="210"/>
      <c r="Q664" s="210"/>
      <c r="R664" s="210"/>
      <c r="S664" s="210"/>
      <c r="T664" s="210"/>
      <c r="U664" s="210"/>
      <c r="V664" s="210"/>
      <c r="W664" s="210"/>
      <c r="X664" s="210"/>
      <c r="Y664" s="210"/>
      <c r="Z664" s="210"/>
      <c r="AA664" s="210"/>
      <c r="AB664" s="210"/>
      <c r="AC664" s="210"/>
      <c r="AD664" s="210"/>
      <c r="AE664" s="210"/>
      <c r="AF664" s="210"/>
      <c r="AG664" s="210"/>
      <c r="AH664" s="210"/>
      <c r="AI664" s="210"/>
      <c r="AJ664" s="210"/>
      <c r="AK664" s="210"/>
      <c r="AL664" s="210"/>
      <c r="AM664" s="210"/>
      <c r="AN664" s="210"/>
      <c r="AO664" s="210"/>
      <c r="AP664" s="210"/>
      <c r="AQ664" s="210"/>
      <c r="AR664" s="210"/>
      <c r="AS664" s="210"/>
      <c r="AT664" s="210"/>
      <c r="AU664" s="210"/>
      <c r="AV664" s="210"/>
      <c r="AW664" s="210"/>
      <c r="AX664" s="210"/>
      <c r="AY664" s="210"/>
      <c r="AZ664" s="210"/>
      <c r="BA664" s="210"/>
      <c r="BB664" s="210"/>
      <c r="BC664" s="210"/>
      <c r="BD664" s="210"/>
      <c r="BE664" s="210"/>
      <c r="BF664" s="210"/>
      <c r="BG664" s="210"/>
      <c r="BH664" s="553"/>
      <c r="BI664" s="210"/>
      <c r="BJ664" s="210"/>
      <c r="BK664" s="210"/>
      <c r="BL664" s="210"/>
      <c r="BM664" s="210"/>
      <c r="BN664" s="210"/>
      <c r="BO664" s="210"/>
      <c r="BP664" s="210"/>
      <c r="BQ664" s="210"/>
      <c r="BR664" s="210"/>
      <c r="BS664" s="833"/>
    </row>
    <row r="665" spans="1:71" s="24" customFormat="1" ht="15">
      <c r="A665" s="129" t="s">
        <v>262</v>
      </c>
      <c r="B665" s="129"/>
      <c r="C665" s="137">
        <f t="shared" si="1374" ref="C665:AM665">ROUND(C643-C663,6)</f>
        <v>0</v>
      </c>
      <c r="D665" s="137">
        <f t="shared" si="1374"/>
        <v>0</v>
      </c>
      <c r="E665" s="137">
        <f t="shared" si="1374"/>
        <v>0</v>
      </c>
      <c r="F665" s="137">
        <f t="shared" si="1374"/>
        <v>0</v>
      </c>
      <c r="G665" s="137">
        <f t="shared" si="1374"/>
        <v>0</v>
      </c>
      <c r="H665" s="137">
        <f t="shared" si="1374"/>
        <v>0</v>
      </c>
      <c r="I665" s="137">
        <f t="shared" si="1374"/>
        <v>0</v>
      </c>
      <c r="J665" s="137">
        <f t="shared" si="1374"/>
        <v>0</v>
      </c>
      <c r="K665" s="137">
        <f t="shared" si="1374"/>
        <v>0</v>
      </c>
      <c r="L665" s="137">
        <f t="shared" si="1374"/>
        <v>0</v>
      </c>
      <c r="M665" s="137">
        <f t="shared" si="1374"/>
        <v>0</v>
      </c>
      <c r="N665" s="137">
        <f t="shared" si="1374"/>
        <v>0</v>
      </c>
      <c r="O665" s="137">
        <f t="shared" si="1374"/>
        <v>0</v>
      </c>
      <c r="P665" s="137">
        <f t="shared" si="1374"/>
        <v>0</v>
      </c>
      <c r="Q665" s="137">
        <f t="shared" si="1374"/>
        <v>0</v>
      </c>
      <c r="R665" s="137">
        <f t="shared" si="1374"/>
        <v>0</v>
      </c>
      <c r="S665" s="137">
        <f t="shared" si="1374"/>
        <v>0</v>
      </c>
      <c r="T665" s="137">
        <f t="shared" si="1374"/>
        <v>0</v>
      </c>
      <c r="U665" s="137">
        <f t="shared" si="1374"/>
        <v>0</v>
      </c>
      <c r="V665" s="137">
        <f t="shared" si="1374"/>
        <v>0</v>
      </c>
      <c r="W665" s="137">
        <f t="shared" si="1374"/>
        <v>0</v>
      </c>
      <c r="X665" s="137">
        <f t="shared" si="1374"/>
        <v>0</v>
      </c>
      <c r="Y665" s="137">
        <f t="shared" si="1374"/>
        <v>0</v>
      </c>
      <c r="Z665" s="137">
        <f t="shared" si="1374"/>
        <v>0</v>
      </c>
      <c r="AA665" s="137">
        <f t="shared" si="1374"/>
        <v>0</v>
      </c>
      <c r="AB665" s="137">
        <f t="shared" si="1374"/>
        <v>0</v>
      </c>
      <c r="AC665" s="137">
        <f t="shared" si="1374"/>
        <v>0</v>
      </c>
      <c r="AD665" s="137">
        <f t="shared" si="1374"/>
        <v>0</v>
      </c>
      <c r="AE665" s="137">
        <f t="shared" si="1374"/>
        <v>0</v>
      </c>
      <c r="AF665" s="137">
        <f t="shared" si="1374"/>
        <v>0</v>
      </c>
      <c r="AG665" s="137">
        <f t="shared" si="1374"/>
        <v>0</v>
      </c>
      <c r="AH665" s="137">
        <f t="shared" si="1374"/>
        <v>0</v>
      </c>
      <c r="AI665" s="137">
        <f t="shared" si="1374"/>
        <v>0</v>
      </c>
      <c r="AJ665" s="137">
        <f t="shared" si="1374"/>
        <v>0</v>
      </c>
      <c r="AK665" s="137">
        <f t="shared" si="1374"/>
        <v>0</v>
      </c>
      <c r="AL665" s="137">
        <f t="shared" si="1374"/>
        <v>0</v>
      </c>
      <c r="AM665" s="137">
        <f t="shared" si="1374"/>
        <v>0</v>
      </c>
      <c r="AN665" s="137">
        <f>ROUND(AN643-AN663,6)</f>
        <v>0</v>
      </c>
      <c r="AO665" s="137">
        <f t="shared" si="1375" ref="AO665:AQ665">ROUND(AO643-AO663,6)</f>
        <v>0</v>
      </c>
      <c r="AP665" s="137">
        <f t="shared" si="1375"/>
        <v>0</v>
      </c>
      <c r="AQ665" s="137">
        <f t="shared" si="1375"/>
        <v>0</v>
      </c>
      <c r="AR665" s="137">
        <f t="shared" si="1376" ref="AR665:AW665">ROUND(AR643-AR663,6)</f>
        <v>0</v>
      </c>
      <c r="AS665" s="137">
        <f t="shared" si="1376"/>
        <v>0</v>
      </c>
      <c r="AT665" s="137">
        <f t="shared" si="1376"/>
        <v>0</v>
      </c>
      <c r="AU665" s="137">
        <f t="shared" si="1376"/>
        <v>0</v>
      </c>
      <c r="AV665" s="137">
        <f t="shared" si="1376"/>
        <v>0</v>
      </c>
      <c r="AW665" s="137">
        <f t="shared" si="1376"/>
        <v>0</v>
      </c>
      <c r="AX665" s="137">
        <f t="shared" si="1377" ref="AX665:BJ665">ROUND(AX643-AX663,6)</f>
        <v>0</v>
      </c>
      <c r="AY665" s="137">
        <f t="shared" si="1377"/>
        <v>0</v>
      </c>
      <c r="AZ665" s="137">
        <f t="shared" si="1377"/>
        <v>0</v>
      </c>
      <c r="BA665" s="137">
        <f t="shared" si="1378" ref="BA665:BI665">ROUND(BA643-BA663,6)</f>
        <v>0</v>
      </c>
      <c r="BB665" s="137">
        <f t="shared" si="1378"/>
        <v>0</v>
      </c>
      <c r="BC665" s="137">
        <f t="shared" si="1378"/>
        <v>0</v>
      </c>
      <c r="BD665" s="137">
        <f t="shared" si="1378"/>
        <v>0</v>
      </c>
      <c r="BE665" s="137">
        <f t="shared" si="1378"/>
        <v>0</v>
      </c>
      <c r="BF665" s="137">
        <f>ROUND(BF643-BF663,6)</f>
        <v>0</v>
      </c>
      <c r="BG665" s="137">
        <f>ROUND(BG643-BG663,6)</f>
        <v>0</v>
      </c>
      <c r="BH665" s="555">
        <f>ROUND(BH643-BH663,6)</f>
        <v>0</v>
      </c>
      <c r="BI665" s="137">
        <f t="shared" ca="1" si="1378"/>
        <v>0</v>
      </c>
      <c r="BJ665" s="137">
        <f t="shared" ca="1" si="1377"/>
        <v>0</v>
      </c>
      <c r="BK665" s="137">
        <f ca="1" t="shared" si="1379" ref="BK665:BR665">ROUND(BK643-BK663,6)</f>
        <v>0</v>
      </c>
      <c r="BL665" s="137">
        <f t="shared" ca="1" si="1379"/>
        <v>0</v>
      </c>
      <c r="BM665" s="137">
        <f t="shared" ca="1" si="1379"/>
        <v>0</v>
      </c>
      <c r="BN665" s="137">
        <f t="shared" ca="1" si="1379"/>
        <v>0</v>
      </c>
      <c r="BO665" s="137">
        <f t="shared" ca="1" si="1379"/>
        <v>0</v>
      </c>
      <c r="BP665" s="137">
        <f t="shared" ca="1" si="1379"/>
        <v>0</v>
      </c>
      <c r="BQ665" s="137">
        <f t="shared" ca="1" si="1379"/>
        <v>0</v>
      </c>
      <c r="BR665" s="137">
        <f t="shared" ca="1" si="1379"/>
        <v>0</v>
      </c>
      <c r="BS665" s="833"/>
    </row>
    <row r="666" spans="1:71" s="24" customFormat="1" ht="15">
      <c r="A666" s="828"/>
      <c r="B666" s="828"/>
      <c r="C666" s="857"/>
      <c r="D666" s="857"/>
      <c r="E666" s="857"/>
      <c r="F666" s="857"/>
      <c r="G666" s="857"/>
      <c r="H666" s="857"/>
      <c r="I666" s="857"/>
      <c r="J666" s="857"/>
      <c r="K666" s="857"/>
      <c r="L666" s="857"/>
      <c r="M666" s="857"/>
      <c r="N666" s="857"/>
      <c r="O666" s="857"/>
      <c r="P666" s="857"/>
      <c r="Q666" s="857"/>
      <c r="R666" s="857"/>
      <c r="S666" s="857"/>
      <c r="T666" s="857"/>
      <c r="U666" s="857"/>
      <c r="V666" s="857"/>
      <c r="W666" s="857"/>
      <c r="X666" s="857"/>
      <c r="Y666" s="857"/>
      <c r="Z666" s="857"/>
      <c r="AA666" s="857"/>
      <c r="AB666" s="857"/>
      <c r="AC666" s="857"/>
      <c r="AD666" s="857"/>
      <c r="AE666" s="857"/>
      <c r="AF666" s="857"/>
      <c r="AG666" s="857"/>
      <c r="AH666" s="857"/>
      <c r="AI666" s="857"/>
      <c r="AJ666" s="857"/>
      <c r="AK666" s="857"/>
      <c r="AL666" s="857"/>
      <c r="AM666" s="857"/>
      <c r="AN666" s="857"/>
      <c r="AO666" s="857"/>
      <c r="AP666" s="857"/>
      <c r="AQ666" s="857"/>
      <c r="AR666" s="857"/>
      <c r="AS666" s="857"/>
      <c r="AT666" s="857"/>
      <c r="AU666" s="857"/>
      <c r="AV666" s="857"/>
      <c r="AW666" s="857"/>
      <c r="AX666" s="857"/>
      <c r="AY666" s="857"/>
      <c r="AZ666" s="857"/>
      <c r="BA666" s="857"/>
      <c r="BB666" s="857"/>
      <c r="BC666" s="857"/>
      <c r="BD666" s="857"/>
      <c r="BE666" s="857"/>
      <c r="BF666" s="857"/>
      <c r="BG666" s="857"/>
      <c r="BH666" s="858"/>
      <c r="BI666" s="857"/>
      <c r="BJ666" s="857"/>
      <c r="BK666" s="857"/>
      <c r="BL666" s="857"/>
      <c r="BM666" s="857"/>
      <c r="BN666" s="857"/>
      <c r="BO666" s="857"/>
      <c r="BP666" s="857"/>
      <c r="BQ666" s="857"/>
      <c r="BR666" s="857"/>
      <c r="BS666" s="833"/>
    </row>
    <row r="667" spans="1:71" s="181" customFormat="1" ht="15">
      <c r="A667" s="834" t="s">
        <v>263</v>
      </c>
      <c r="B667" s="834"/>
      <c r="C667" s="876"/>
      <c r="D667" s="876"/>
      <c r="E667" s="876"/>
      <c r="F667" s="876"/>
      <c r="G667" s="876"/>
      <c r="H667" s="876"/>
      <c r="I667" s="876"/>
      <c r="J667" s="876"/>
      <c r="K667" s="876"/>
      <c r="L667" s="876"/>
      <c r="M667" s="876"/>
      <c r="N667" s="876"/>
      <c r="O667" s="876"/>
      <c r="P667" s="876"/>
      <c r="Q667" s="876"/>
      <c r="R667" s="876"/>
      <c r="S667" s="876"/>
      <c r="T667" s="876"/>
      <c r="U667" s="876"/>
      <c r="V667" s="876"/>
      <c r="W667" s="876"/>
      <c r="X667" s="876"/>
      <c r="Y667" s="876"/>
      <c r="Z667" s="876"/>
      <c r="AA667" s="876"/>
      <c r="AB667" s="876"/>
      <c r="AC667" s="876"/>
      <c r="AD667" s="876"/>
      <c r="AE667" s="876"/>
      <c r="AF667" s="876"/>
      <c r="AG667" s="876"/>
      <c r="AH667" s="876"/>
      <c r="AI667" s="876"/>
      <c r="AJ667" s="876"/>
      <c r="AK667" s="876"/>
      <c r="AL667" s="876"/>
      <c r="AM667" s="876"/>
      <c r="AN667" s="876"/>
      <c r="AO667" s="876"/>
      <c r="AP667" s="876"/>
      <c r="AQ667" s="876"/>
      <c r="AR667" s="876"/>
      <c r="AS667" s="876"/>
      <c r="AT667" s="876"/>
      <c r="AU667" s="876"/>
      <c r="AV667" s="876"/>
      <c r="AW667" s="876"/>
      <c r="AX667" s="876"/>
      <c r="AY667" s="876"/>
      <c r="AZ667" s="876"/>
      <c r="BA667" s="876"/>
      <c r="BB667" s="876"/>
      <c r="BC667" s="876"/>
      <c r="BD667" s="876"/>
      <c r="BE667" s="876"/>
      <c r="BF667" s="876"/>
      <c r="BG667" s="876"/>
      <c r="BH667" s="877"/>
      <c r="BI667" s="876"/>
      <c r="BJ667" s="876"/>
      <c r="BK667" s="876"/>
      <c r="BL667" s="876"/>
      <c r="BM667" s="876"/>
      <c r="BN667" s="876"/>
      <c r="BO667" s="876"/>
      <c r="BP667" s="876"/>
      <c r="BQ667" s="876"/>
      <c r="BR667" s="876"/>
      <c r="BS667" s="423"/>
    </row>
    <row r="668" spans="1:71" s="24" customFormat="1" ht="15">
      <c r="A668" s="833" t="s">
        <v>264</v>
      </c>
      <c r="B668" s="430"/>
      <c r="C668" s="137">
        <f t="shared" si="1380" ref="C668:AH668">IF(ISBLANK(INDEX(MO_IS_FirstRow,0,COLUMN())),0,ROUND(C571-C405,6))</f>
        <v>0</v>
      </c>
      <c r="D668" s="137">
        <f t="shared" si="1380"/>
        <v>0</v>
      </c>
      <c r="E668" s="137">
        <f t="shared" si="1380"/>
        <v>0</v>
      </c>
      <c r="F668" s="137">
        <f t="shared" si="1380"/>
        <v>0</v>
      </c>
      <c r="G668" s="137">
        <f t="shared" si="1380"/>
        <v>0</v>
      </c>
      <c r="H668" s="137">
        <f t="shared" si="1380"/>
        <v>0</v>
      </c>
      <c r="I668" s="137">
        <f t="shared" si="1380"/>
        <v>0</v>
      </c>
      <c r="J668" s="137">
        <f t="shared" si="1380"/>
        <v>0</v>
      </c>
      <c r="K668" s="137">
        <f t="shared" si="1380"/>
        <v>0</v>
      </c>
      <c r="L668" s="137">
        <f t="shared" si="1380"/>
        <v>0</v>
      </c>
      <c r="M668" s="137">
        <f t="shared" si="1380"/>
        <v>0</v>
      </c>
      <c r="N668" s="137">
        <f t="shared" si="1380"/>
        <v>0</v>
      </c>
      <c r="O668" s="137">
        <f t="shared" si="1380"/>
        <v>0</v>
      </c>
      <c r="P668" s="137">
        <f t="shared" si="1380"/>
        <v>0</v>
      </c>
      <c r="Q668" s="137">
        <f t="shared" si="1380"/>
        <v>0</v>
      </c>
      <c r="R668" s="137">
        <f t="shared" si="1380"/>
        <v>0</v>
      </c>
      <c r="S668" s="137">
        <f t="shared" si="1380"/>
        <v>0</v>
      </c>
      <c r="T668" s="137">
        <f t="shared" si="1380"/>
        <v>0</v>
      </c>
      <c r="U668" s="137">
        <f t="shared" si="1380"/>
        <v>0</v>
      </c>
      <c r="V668" s="137">
        <f t="shared" si="1380"/>
        <v>0</v>
      </c>
      <c r="W668" s="137">
        <f t="shared" si="1380"/>
        <v>0</v>
      </c>
      <c r="X668" s="137">
        <f t="shared" si="1380"/>
        <v>0</v>
      </c>
      <c r="Y668" s="137">
        <f t="shared" si="1380"/>
        <v>0</v>
      </c>
      <c r="Z668" s="137">
        <f t="shared" si="1380"/>
        <v>0</v>
      </c>
      <c r="AA668" s="137">
        <f t="shared" si="1380"/>
        <v>0</v>
      </c>
      <c r="AB668" s="137">
        <f t="shared" si="1380"/>
        <v>0</v>
      </c>
      <c r="AC668" s="137">
        <f t="shared" si="1380"/>
        <v>0</v>
      </c>
      <c r="AD668" s="137">
        <f t="shared" si="1380"/>
        <v>0</v>
      </c>
      <c r="AE668" s="137">
        <f t="shared" si="1380"/>
        <v>0</v>
      </c>
      <c r="AF668" s="137">
        <f t="shared" si="1380"/>
        <v>0</v>
      </c>
      <c r="AG668" s="137">
        <f t="shared" si="1380"/>
        <v>0</v>
      </c>
      <c r="AH668" s="137">
        <f t="shared" si="1380"/>
        <v>0</v>
      </c>
      <c r="AI668" s="137">
        <f t="shared" si="1381" ref="AI668:AW668">IF(ISBLANK(INDEX(MO_IS_FirstRow,0,COLUMN())),0,ROUND(AI571-AI405,6))</f>
        <v>0</v>
      </c>
      <c r="AJ668" s="137">
        <f t="shared" si="1381"/>
        <v>0</v>
      </c>
      <c r="AK668" s="137">
        <f t="shared" si="1381"/>
        <v>0</v>
      </c>
      <c r="AL668" s="137">
        <f t="shared" si="1381"/>
        <v>0</v>
      </c>
      <c r="AM668" s="137">
        <f t="shared" si="1381"/>
        <v>0</v>
      </c>
      <c r="AN668" s="137">
        <f t="shared" si="1381"/>
        <v>0</v>
      </c>
      <c r="AO668" s="137">
        <f t="shared" si="1381"/>
        <v>0</v>
      </c>
      <c r="AP668" s="137">
        <f t="shared" si="1381"/>
        <v>0</v>
      </c>
      <c r="AQ668" s="137">
        <f t="shared" si="1381"/>
        <v>0</v>
      </c>
      <c r="AR668" s="137">
        <f t="shared" si="1381"/>
        <v>0</v>
      </c>
      <c r="AS668" s="137">
        <f t="shared" si="1381"/>
        <v>0</v>
      </c>
      <c r="AT668" s="137">
        <f t="shared" si="1381"/>
        <v>0</v>
      </c>
      <c r="AU668" s="137">
        <f t="shared" si="1381"/>
        <v>0</v>
      </c>
      <c r="AV668" s="137">
        <f t="shared" si="1381"/>
        <v>0</v>
      </c>
      <c r="AW668" s="137">
        <f t="shared" si="1381"/>
        <v>0</v>
      </c>
      <c r="AX668" s="137">
        <f t="shared" si="1382" ref="AX668:AZ668">IF(ISBLANK(INDEX(MO_IS_FirstRow,0,COLUMN())),0,ROUND(AX571-AX405,6))</f>
        <v>0</v>
      </c>
      <c r="AY668" s="137">
        <f t="shared" si="1382"/>
        <v>0</v>
      </c>
      <c r="AZ668" s="137">
        <f t="shared" si="1382"/>
        <v>0</v>
      </c>
      <c r="BA668" s="137">
        <f t="shared" si="1383" ref="BA668:BR668">IF(ISBLANK(INDEX(MO_IS_FirstRow,0,COLUMN())),0,ROUND(BA571-BA405,6))</f>
        <v>0</v>
      </c>
      <c r="BB668" s="137">
        <f t="shared" si="1383"/>
        <v>0</v>
      </c>
      <c r="BC668" s="137">
        <f t="shared" si="1383"/>
        <v>0</v>
      </c>
      <c r="BD668" s="137">
        <f t="shared" si="1383"/>
        <v>0</v>
      </c>
      <c r="BE668" s="137">
        <f t="shared" si="1383"/>
        <v>0</v>
      </c>
      <c r="BF668" s="137">
        <f>IF(ISBLANK(INDEX(MO_IS_FirstRow,0,COLUMN())),0,ROUND(BF571-BF405,6))</f>
        <v>0</v>
      </c>
      <c r="BG668" s="137">
        <f>IF(ISBLANK(INDEX(MO_IS_FirstRow,0,COLUMN())),0,ROUND(BG571-BG405,6))</f>
        <v>0</v>
      </c>
      <c r="BH668" s="555">
        <f>IF(ISBLANK(INDEX(MO_IS_FirstRow,0,COLUMN())),0,ROUND(BH571-BH405,6))</f>
        <v>0</v>
      </c>
      <c r="BI668" s="137">
        <f t="shared" si="1383"/>
        <v>0</v>
      </c>
      <c r="BJ668" s="137">
        <f t="shared" si="1383"/>
        <v>0</v>
      </c>
      <c r="BK668" s="137">
        <f t="shared" si="1383"/>
        <v>0</v>
      </c>
      <c r="BL668" s="137">
        <f t="shared" si="1383"/>
        <v>0</v>
      </c>
      <c r="BM668" s="137">
        <f t="shared" si="1383"/>
        <v>0</v>
      </c>
      <c r="BN668" s="137">
        <f t="shared" si="1383"/>
        <v>0</v>
      </c>
      <c r="BO668" s="137">
        <f t="shared" si="1383"/>
        <v>0</v>
      </c>
      <c r="BP668" s="137">
        <f t="shared" si="1383"/>
        <v>0</v>
      </c>
      <c r="BQ668" s="137">
        <f t="shared" si="1383"/>
        <v>0</v>
      </c>
      <c r="BR668" s="137">
        <f t="shared" si="1383"/>
        <v>0</v>
      </c>
      <c r="BS668" s="833"/>
    </row>
    <row r="669" spans="1:71" s="24" customFormat="1" ht="15">
      <c r="A669" s="833" t="s">
        <v>265</v>
      </c>
      <c r="B669" s="430"/>
      <c r="C669" s="137">
        <f t="shared" si="1384" ref="C669:AH669">IF(ISBLANK(INDEX(MO_IS_FirstRow,0,COLUMN())),0,ROUND(C356-C405,6))</f>
        <v>0</v>
      </c>
      <c r="D669" s="137">
        <f t="shared" si="1384"/>
        <v>0</v>
      </c>
      <c r="E669" s="137">
        <f t="shared" si="1384"/>
        <v>0</v>
      </c>
      <c r="F669" s="137">
        <f t="shared" si="1384"/>
        <v>0</v>
      </c>
      <c r="G669" s="137">
        <f t="shared" si="1384"/>
        <v>0</v>
      </c>
      <c r="H669" s="137">
        <f t="shared" si="1384"/>
        <v>0</v>
      </c>
      <c r="I669" s="137">
        <f t="shared" si="1384"/>
        <v>0</v>
      </c>
      <c r="J669" s="137">
        <f t="shared" si="1384"/>
        <v>0</v>
      </c>
      <c r="K669" s="137">
        <f t="shared" si="1384"/>
        <v>0</v>
      </c>
      <c r="L669" s="137">
        <f t="shared" si="1384"/>
        <v>0</v>
      </c>
      <c r="M669" s="137">
        <f t="shared" si="1384"/>
        <v>0</v>
      </c>
      <c r="N669" s="137">
        <f t="shared" si="1384"/>
        <v>0</v>
      </c>
      <c r="O669" s="137">
        <f t="shared" si="1384"/>
        <v>0</v>
      </c>
      <c r="P669" s="137">
        <f t="shared" si="1384"/>
        <v>0</v>
      </c>
      <c r="Q669" s="137">
        <f t="shared" si="1384"/>
        <v>0</v>
      </c>
      <c r="R669" s="137">
        <f t="shared" si="1384"/>
        <v>0</v>
      </c>
      <c r="S669" s="137">
        <f t="shared" si="1384"/>
        <v>0</v>
      </c>
      <c r="T669" s="137">
        <f t="shared" si="1384"/>
        <v>0</v>
      </c>
      <c r="U669" s="137">
        <f t="shared" si="1384"/>
        <v>0</v>
      </c>
      <c r="V669" s="137">
        <f t="shared" si="1384"/>
        <v>0</v>
      </c>
      <c r="W669" s="137">
        <f t="shared" si="1384"/>
        <v>0</v>
      </c>
      <c r="X669" s="137">
        <f t="shared" si="1384"/>
        <v>0</v>
      </c>
      <c r="Y669" s="137">
        <f t="shared" si="1384"/>
        <v>0</v>
      </c>
      <c r="Z669" s="137">
        <f t="shared" si="1384"/>
        <v>0</v>
      </c>
      <c r="AA669" s="137">
        <f t="shared" si="1384"/>
        <v>0</v>
      </c>
      <c r="AB669" s="137">
        <f t="shared" si="1384"/>
        <v>0</v>
      </c>
      <c r="AC669" s="137">
        <f t="shared" si="1384"/>
        <v>0</v>
      </c>
      <c r="AD669" s="137">
        <f t="shared" si="1384"/>
        <v>0</v>
      </c>
      <c r="AE669" s="137">
        <f t="shared" si="1384"/>
        <v>0</v>
      </c>
      <c r="AF669" s="137">
        <f t="shared" si="1384"/>
        <v>0</v>
      </c>
      <c r="AG669" s="137">
        <f t="shared" si="1384"/>
        <v>0</v>
      </c>
      <c r="AH669" s="137">
        <f t="shared" si="1384"/>
        <v>0</v>
      </c>
      <c r="AI669" s="137">
        <f t="shared" si="1385" ref="AI669:AW669">IF(ISBLANK(INDEX(MO_IS_FirstRow,0,COLUMN())),0,ROUND(AI356-AI405,6))</f>
        <v>0</v>
      </c>
      <c r="AJ669" s="137">
        <f t="shared" si="1385"/>
        <v>0</v>
      </c>
      <c r="AK669" s="137">
        <f t="shared" si="1385"/>
        <v>0</v>
      </c>
      <c r="AL669" s="137">
        <f t="shared" si="1385"/>
        <v>0</v>
      </c>
      <c r="AM669" s="137">
        <f t="shared" si="1385"/>
        <v>0</v>
      </c>
      <c r="AN669" s="137">
        <f t="shared" si="1385"/>
        <v>0</v>
      </c>
      <c r="AO669" s="137">
        <f t="shared" si="1385"/>
        <v>0</v>
      </c>
      <c r="AP669" s="137">
        <f t="shared" si="1385"/>
        <v>0</v>
      </c>
      <c r="AQ669" s="137">
        <f t="shared" si="1385"/>
        <v>0</v>
      </c>
      <c r="AR669" s="137">
        <f t="shared" si="1385"/>
        <v>0</v>
      </c>
      <c r="AS669" s="137">
        <f t="shared" si="1385"/>
        <v>0</v>
      </c>
      <c r="AT669" s="137">
        <f t="shared" si="1385"/>
        <v>0</v>
      </c>
      <c r="AU669" s="137">
        <f t="shared" si="1385"/>
        <v>0</v>
      </c>
      <c r="AV669" s="137">
        <f t="shared" si="1385"/>
        <v>0</v>
      </c>
      <c r="AW669" s="137">
        <f t="shared" si="1385"/>
        <v>0</v>
      </c>
      <c r="AX669" s="137">
        <f t="shared" si="1386" ref="AX669:AZ669">IF(ISBLANK(INDEX(MO_IS_FirstRow,0,COLUMN())),0,ROUND(AX356-AX405,6))</f>
        <v>0</v>
      </c>
      <c r="AY669" s="137">
        <f t="shared" si="1386"/>
        <v>0</v>
      </c>
      <c r="AZ669" s="137">
        <f t="shared" si="1386"/>
        <v>0</v>
      </c>
      <c r="BA669" s="137">
        <f t="shared" si="1387" ref="BA669:BR669">IF(ISBLANK(INDEX(MO_IS_FirstRow,0,COLUMN())),0,ROUND(BA356-BA405,6))</f>
        <v>0</v>
      </c>
      <c r="BB669" s="137">
        <f t="shared" si="1387"/>
        <v>0</v>
      </c>
      <c r="BC669" s="137">
        <f t="shared" si="1387"/>
        <v>0</v>
      </c>
      <c r="BD669" s="137">
        <f t="shared" si="1387"/>
        <v>0</v>
      </c>
      <c r="BE669" s="137">
        <f t="shared" si="1387"/>
        <v>0</v>
      </c>
      <c r="BF669" s="137">
        <f>IF(ISBLANK(INDEX(MO_IS_FirstRow,0,COLUMN())),0,ROUND(BF356-BF405,6))</f>
        <v>0</v>
      </c>
      <c r="BG669" s="137">
        <f>IF(ISBLANK(INDEX(MO_IS_FirstRow,0,COLUMN())),0,ROUND(BG356-BG405,6))</f>
        <v>0</v>
      </c>
      <c r="BH669" s="555">
        <f>IF(ISBLANK(INDEX(MO_IS_FirstRow,0,COLUMN())),0,ROUND(BH356-BH405,6))</f>
        <v>0</v>
      </c>
      <c r="BI669" s="137">
        <f t="shared" si="1387"/>
        <v>0</v>
      </c>
      <c r="BJ669" s="137">
        <f t="shared" si="1387"/>
        <v>0</v>
      </c>
      <c r="BK669" s="137">
        <f t="shared" si="1387"/>
        <v>0</v>
      </c>
      <c r="BL669" s="137">
        <f t="shared" si="1387"/>
        <v>0</v>
      </c>
      <c r="BM669" s="137">
        <f t="shared" si="1387"/>
        <v>0</v>
      </c>
      <c r="BN669" s="137">
        <f t="shared" si="1387"/>
        <v>0</v>
      </c>
      <c r="BO669" s="137">
        <f t="shared" si="1387"/>
        <v>0</v>
      </c>
      <c r="BP669" s="137">
        <f t="shared" si="1387"/>
        <v>0</v>
      </c>
      <c r="BQ669" s="137">
        <f t="shared" si="1387"/>
        <v>0</v>
      </c>
      <c r="BR669" s="137">
        <f t="shared" si="1387"/>
        <v>0</v>
      </c>
      <c r="BS669" s="833"/>
    </row>
    <row r="670" spans="1:71" s="24" customFormat="1" ht="15">
      <c r="A670" s="833" t="s">
        <v>266</v>
      </c>
      <c r="B670" s="430"/>
      <c r="C670" s="137">
        <f t="shared" si="1388" ref="C670:AQ670">ROUND(INDEX(MO_UI_NEP,0,COLUMN())-INDEX(MO_RIS_NEP,0,COLUMN()),6)</f>
        <v>0</v>
      </c>
      <c r="D670" s="137">
        <f t="shared" si="1388"/>
        <v>0</v>
      </c>
      <c r="E670" s="137">
        <f t="shared" si="1388"/>
        <v>0</v>
      </c>
      <c r="F670" s="137">
        <f t="shared" si="1388"/>
        <v>0</v>
      </c>
      <c r="G670" s="137">
        <f t="shared" si="1388"/>
        <v>0</v>
      </c>
      <c r="H670" s="137">
        <f t="shared" si="1388"/>
        <v>0</v>
      </c>
      <c r="I670" s="137">
        <f t="shared" si="1388"/>
        <v>0</v>
      </c>
      <c r="J670" s="137">
        <f t="shared" si="1388"/>
        <v>0</v>
      </c>
      <c r="K670" s="137">
        <f t="shared" si="1388"/>
        <v>0</v>
      </c>
      <c r="L670" s="137">
        <f t="shared" si="1388"/>
        <v>0</v>
      </c>
      <c r="M670" s="137">
        <f t="shared" si="1388"/>
        <v>0</v>
      </c>
      <c r="N670" s="137">
        <f t="shared" si="1388"/>
        <v>0</v>
      </c>
      <c r="O670" s="137">
        <f t="shared" si="1388"/>
        <v>0</v>
      </c>
      <c r="P670" s="137">
        <f t="shared" si="1388"/>
        <v>0</v>
      </c>
      <c r="Q670" s="137">
        <f t="shared" si="1388"/>
        <v>0</v>
      </c>
      <c r="R670" s="137">
        <f t="shared" si="1388"/>
        <v>0</v>
      </c>
      <c r="S670" s="137">
        <f t="shared" si="1388"/>
        <v>0</v>
      </c>
      <c r="T670" s="137">
        <f t="shared" si="1388"/>
        <v>0</v>
      </c>
      <c r="U670" s="137">
        <f t="shared" si="1388"/>
        <v>0</v>
      </c>
      <c r="V670" s="137">
        <f t="shared" si="1388"/>
        <v>0</v>
      </c>
      <c r="W670" s="137">
        <f t="shared" si="1388"/>
        <v>0</v>
      </c>
      <c r="X670" s="137">
        <f t="shared" si="1388"/>
        <v>0</v>
      </c>
      <c r="Y670" s="137">
        <f t="shared" si="1388"/>
        <v>0</v>
      </c>
      <c r="Z670" s="137">
        <f t="shared" si="1388"/>
        <v>0</v>
      </c>
      <c r="AA670" s="137">
        <f t="shared" si="1388"/>
        <v>0</v>
      </c>
      <c r="AB670" s="137">
        <f t="shared" si="1388"/>
        <v>0</v>
      </c>
      <c r="AC670" s="137">
        <f t="shared" si="1388"/>
        <v>0</v>
      </c>
      <c r="AD670" s="137">
        <f t="shared" si="1388"/>
        <v>0</v>
      </c>
      <c r="AE670" s="137">
        <f t="shared" si="1388"/>
        <v>0</v>
      </c>
      <c r="AF670" s="137">
        <f t="shared" si="1388"/>
        <v>0</v>
      </c>
      <c r="AG670" s="137">
        <f t="shared" si="1388"/>
        <v>0</v>
      </c>
      <c r="AH670" s="137">
        <f t="shared" si="1388"/>
        <v>0</v>
      </c>
      <c r="AI670" s="137">
        <f t="shared" si="1388"/>
        <v>0</v>
      </c>
      <c r="AJ670" s="137">
        <f t="shared" si="1388"/>
        <v>0</v>
      </c>
      <c r="AK670" s="137">
        <f t="shared" si="1388"/>
        <v>0</v>
      </c>
      <c r="AL670" s="137">
        <f t="shared" si="1388"/>
        <v>0</v>
      </c>
      <c r="AM670" s="137">
        <f t="shared" si="1388"/>
        <v>0</v>
      </c>
      <c r="AN670" s="137">
        <f>ROUND(INDEX(MO_UI_NEP,0,COLUMN())-INDEX(MO_RIS_NEP,0,COLUMN()),6)</f>
        <v>0</v>
      </c>
      <c r="AO670" s="137">
        <f t="shared" si="1388"/>
        <v>0</v>
      </c>
      <c r="AP670" s="137">
        <f t="shared" si="1388"/>
        <v>0</v>
      </c>
      <c r="AQ670" s="137">
        <f t="shared" si="1388"/>
        <v>0</v>
      </c>
      <c r="AR670" s="137">
        <f t="shared" si="1389" ref="AR670:AW670">ROUND(INDEX(MO_UI_NEP,0,COLUMN())-INDEX(MO_RIS_NEP,0,COLUMN()),6)</f>
        <v>0</v>
      </c>
      <c r="AS670" s="137">
        <f t="shared" si="1389"/>
        <v>0</v>
      </c>
      <c r="AT670" s="137">
        <f t="shared" si="1389"/>
        <v>0</v>
      </c>
      <c r="AU670" s="137">
        <f t="shared" si="1389"/>
        <v>0</v>
      </c>
      <c r="AV670" s="137">
        <f t="shared" si="1389"/>
        <v>0</v>
      </c>
      <c r="AW670" s="137">
        <f t="shared" si="1389"/>
        <v>0</v>
      </c>
      <c r="AX670" s="137">
        <f t="shared" si="1390" ref="AX670:BJ670">ROUND(INDEX(MO_UI_NEP,0,COLUMN())-INDEX(MO_RIS_NEP,0,COLUMN()),6)</f>
        <v>0</v>
      </c>
      <c r="AY670" s="137">
        <f t="shared" si="1390"/>
        <v>0</v>
      </c>
      <c r="AZ670" s="137">
        <f t="shared" si="1390"/>
        <v>0</v>
      </c>
      <c r="BA670" s="137">
        <f t="shared" si="1391" ref="BA670:BI670">ROUND(INDEX(MO_UI_NEP,0,COLUMN())-INDEX(MO_RIS_NEP,0,COLUMN()),6)</f>
        <v>0</v>
      </c>
      <c r="BB670" s="137">
        <f t="shared" si="1391"/>
        <v>0</v>
      </c>
      <c r="BC670" s="137">
        <f t="shared" si="1391"/>
        <v>0</v>
      </c>
      <c r="BD670" s="137">
        <f t="shared" si="1391"/>
        <v>0</v>
      </c>
      <c r="BE670" s="137">
        <f t="shared" si="1391"/>
        <v>0</v>
      </c>
      <c r="BF670" s="137">
        <f>ROUND(INDEX(MO_UI_NEP,0,COLUMN())-INDEX(MO_RIS_NEP,0,COLUMN()),6)</f>
        <v>0</v>
      </c>
      <c r="BG670" s="137">
        <f>ROUND(INDEX(MO_UI_NEP,0,COLUMN())-INDEX(MO_RIS_NEP,0,COLUMN()),6)</f>
        <v>0</v>
      </c>
      <c r="BH670" s="555">
        <f>ROUND(INDEX(MO_UI_NEP,0,COLUMN())-INDEX(MO_RIS_NEP,0,COLUMN()),6)</f>
        <v>0</v>
      </c>
      <c r="BI670" s="137">
        <f t="shared" si="1391"/>
        <v>0</v>
      </c>
      <c r="BJ670" s="137">
        <f t="shared" si="1390"/>
        <v>0</v>
      </c>
      <c r="BK670" s="137">
        <f t="shared" si="1392" ref="BK670:BR670">ROUND(INDEX(MO_UI_NEP,0,COLUMN())-INDEX(MO_RIS_NEP,0,COLUMN()),6)</f>
        <v>0</v>
      </c>
      <c r="BL670" s="137">
        <f t="shared" si="1392"/>
        <v>0</v>
      </c>
      <c r="BM670" s="137">
        <f t="shared" si="1392"/>
        <v>0</v>
      </c>
      <c r="BN670" s="137">
        <f t="shared" si="1392"/>
        <v>0</v>
      </c>
      <c r="BO670" s="137">
        <f t="shared" si="1392"/>
        <v>0</v>
      </c>
      <c r="BP670" s="137">
        <f t="shared" si="1392"/>
        <v>0</v>
      </c>
      <c r="BQ670" s="137">
        <f t="shared" si="1392"/>
        <v>0</v>
      </c>
      <c r="BR670" s="137">
        <f t="shared" si="1392"/>
        <v>0</v>
      </c>
      <c r="BS670" s="833"/>
    </row>
    <row r="671" spans="1:71" s="24" customFormat="1" ht="15">
      <c r="A671" s="833" t="s">
        <v>267</v>
      </c>
      <c r="B671" s="430"/>
      <c r="C671" s="137">
        <f t="shared" si="1393" ref="C671:AQ671">ROUND(INDEX(MO_UI_Loss,0,COLUMN())-INDEX(MO_RIS_Loss,0,COLUMN()),6)</f>
        <v>0</v>
      </c>
      <c r="D671" s="137">
        <f t="shared" si="1393"/>
        <v>0</v>
      </c>
      <c r="E671" s="137">
        <f t="shared" si="1393"/>
        <v>0</v>
      </c>
      <c r="F671" s="137">
        <f t="shared" si="1393"/>
        <v>0</v>
      </c>
      <c r="G671" s="137">
        <f t="shared" si="1393"/>
        <v>0</v>
      </c>
      <c r="H671" s="137">
        <f t="shared" si="1393"/>
        <v>0</v>
      </c>
      <c r="I671" s="137">
        <f t="shared" si="1393"/>
        <v>0</v>
      </c>
      <c r="J671" s="137">
        <f t="shared" si="1393"/>
        <v>0</v>
      </c>
      <c r="K671" s="137">
        <f t="shared" si="1393"/>
        <v>0</v>
      </c>
      <c r="L671" s="137">
        <f t="shared" si="1393"/>
        <v>0</v>
      </c>
      <c r="M671" s="137">
        <f t="shared" si="1393"/>
        <v>0</v>
      </c>
      <c r="N671" s="137">
        <f t="shared" si="1393"/>
        <v>0</v>
      </c>
      <c r="O671" s="137">
        <f t="shared" si="1393"/>
        <v>0</v>
      </c>
      <c r="P671" s="137">
        <f t="shared" si="1393"/>
        <v>0</v>
      </c>
      <c r="Q671" s="137">
        <f t="shared" si="1393"/>
        <v>0</v>
      </c>
      <c r="R671" s="137">
        <f t="shared" si="1393"/>
        <v>0</v>
      </c>
      <c r="S671" s="137">
        <f t="shared" si="1393"/>
        <v>0</v>
      </c>
      <c r="T671" s="137">
        <f t="shared" si="1393"/>
        <v>0</v>
      </c>
      <c r="U671" s="137">
        <f t="shared" si="1393"/>
        <v>0</v>
      </c>
      <c r="V671" s="137">
        <f t="shared" si="1393"/>
        <v>0</v>
      </c>
      <c r="W671" s="137">
        <f t="shared" si="1393"/>
        <v>0</v>
      </c>
      <c r="X671" s="137">
        <f t="shared" si="1393"/>
        <v>0</v>
      </c>
      <c r="Y671" s="137">
        <f t="shared" si="1393"/>
        <v>0</v>
      </c>
      <c r="Z671" s="137">
        <f t="shared" si="1393"/>
        <v>0</v>
      </c>
      <c r="AA671" s="137">
        <f t="shared" si="1393"/>
        <v>0</v>
      </c>
      <c r="AB671" s="137">
        <f t="shared" si="1393"/>
        <v>0</v>
      </c>
      <c r="AC671" s="137">
        <f t="shared" si="1393"/>
        <v>0</v>
      </c>
      <c r="AD671" s="137">
        <f t="shared" si="1393"/>
        <v>0</v>
      </c>
      <c r="AE671" s="137">
        <f t="shared" si="1393"/>
        <v>0</v>
      </c>
      <c r="AF671" s="137">
        <f t="shared" si="1393"/>
        <v>0</v>
      </c>
      <c r="AG671" s="137">
        <f t="shared" si="1393"/>
        <v>0</v>
      </c>
      <c r="AH671" s="137">
        <f t="shared" si="1393"/>
        <v>0</v>
      </c>
      <c r="AI671" s="137">
        <f t="shared" si="1393"/>
        <v>0</v>
      </c>
      <c r="AJ671" s="137">
        <f t="shared" si="1393"/>
        <v>0</v>
      </c>
      <c r="AK671" s="137">
        <f t="shared" si="1393"/>
        <v>0</v>
      </c>
      <c r="AL671" s="137">
        <f t="shared" si="1393"/>
        <v>0</v>
      </c>
      <c r="AM671" s="137">
        <f t="shared" si="1393"/>
        <v>0</v>
      </c>
      <c r="AN671" s="137">
        <f>ROUND(INDEX(MO_UI_Loss,0,COLUMN())-INDEX(MO_RIS_Loss,0,COLUMN()),6)</f>
        <v>0</v>
      </c>
      <c r="AO671" s="137">
        <f t="shared" si="1393"/>
        <v>0</v>
      </c>
      <c r="AP671" s="137">
        <f t="shared" si="1393"/>
        <v>0</v>
      </c>
      <c r="AQ671" s="137">
        <f t="shared" si="1393"/>
        <v>0</v>
      </c>
      <c r="AR671" s="137">
        <f t="shared" si="1394" ref="AR671:AW671">ROUND(INDEX(MO_UI_Loss,0,COLUMN())-INDEX(MO_RIS_Loss,0,COLUMN()),6)</f>
        <v>0</v>
      </c>
      <c r="AS671" s="137">
        <f t="shared" si="1394"/>
        <v>0</v>
      </c>
      <c r="AT671" s="137">
        <f t="shared" si="1394"/>
        <v>0</v>
      </c>
      <c r="AU671" s="137">
        <f t="shared" si="1394"/>
        <v>0</v>
      </c>
      <c r="AV671" s="137">
        <f t="shared" si="1394"/>
        <v>0</v>
      </c>
      <c r="AW671" s="137">
        <f t="shared" si="1394"/>
        <v>0</v>
      </c>
      <c r="AX671" s="137">
        <f t="shared" si="1395" ref="AX671:BJ671">ROUND(INDEX(MO_UI_Loss,0,COLUMN())-INDEX(MO_RIS_Loss,0,COLUMN()),6)</f>
        <v>0</v>
      </c>
      <c r="AY671" s="137">
        <f t="shared" si="1395"/>
        <v>0</v>
      </c>
      <c r="AZ671" s="137">
        <f t="shared" si="1395"/>
        <v>0</v>
      </c>
      <c r="BA671" s="137">
        <f t="shared" si="1396" ref="BA671:BI671">ROUND(INDEX(MO_UI_Loss,0,COLUMN())-INDEX(MO_RIS_Loss,0,COLUMN()),6)</f>
        <v>0</v>
      </c>
      <c r="BB671" s="137">
        <f t="shared" si="1396"/>
        <v>0</v>
      </c>
      <c r="BC671" s="137">
        <f t="shared" si="1396"/>
        <v>0</v>
      </c>
      <c r="BD671" s="137">
        <f t="shared" si="1396"/>
        <v>0</v>
      </c>
      <c r="BE671" s="137">
        <f t="shared" si="1396"/>
        <v>0</v>
      </c>
      <c r="BF671" s="137">
        <f>ROUND(INDEX(MO_UI_Loss,0,COLUMN())-INDEX(MO_RIS_Loss,0,COLUMN()),6)</f>
        <v>0</v>
      </c>
      <c r="BG671" s="137">
        <f>ROUND(INDEX(MO_UI_Loss,0,COLUMN())-INDEX(MO_RIS_Loss,0,COLUMN()),6)</f>
        <v>0</v>
      </c>
      <c r="BH671" s="555">
        <f>ROUND(INDEX(MO_UI_Loss,0,COLUMN())-INDEX(MO_RIS_Loss,0,COLUMN()),6)</f>
        <v>0</v>
      </c>
      <c r="BI671" s="137">
        <f t="shared" si="1396"/>
        <v>0</v>
      </c>
      <c r="BJ671" s="137">
        <f t="shared" si="1395"/>
        <v>0</v>
      </c>
      <c r="BK671" s="137">
        <f t="shared" si="1397" ref="BK671:BR671">ROUND(INDEX(MO_UI_Loss,0,COLUMN())-INDEX(MO_RIS_Loss,0,COLUMN()),6)</f>
        <v>0</v>
      </c>
      <c r="BL671" s="137">
        <f t="shared" si="1397"/>
        <v>0</v>
      </c>
      <c r="BM671" s="137">
        <f t="shared" si="1397"/>
        <v>0</v>
      </c>
      <c r="BN671" s="137">
        <f t="shared" si="1397"/>
        <v>0</v>
      </c>
      <c r="BO671" s="137">
        <f t="shared" si="1397"/>
        <v>0</v>
      </c>
      <c r="BP671" s="137">
        <f t="shared" si="1397"/>
        <v>0</v>
      </c>
      <c r="BQ671" s="137">
        <f t="shared" si="1397"/>
        <v>0</v>
      </c>
      <c r="BR671" s="137">
        <f t="shared" si="1397"/>
        <v>0</v>
      </c>
      <c r="BS671" s="833"/>
    </row>
    <row r="672" spans="1:71" s="24" customFormat="1" ht="15">
      <c r="A672" s="833" t="s">
        <v>268</v>
      </c>
      <c r="B672" s="430"/>
      <c r="C672" s="137">
        <f t="shared" si="1398" ref="C672:AQ672">ROUND(INDEX(MO_UI_PAE,0,COLUMN())-INDEX(MO_RIS_PAE,0,COLUMN()),6)</f>
        <v>0</v>
      </c>
      <c r="D672" s="137">
        <f t="shared" si="1398"/>
        <v>0</v>
      </c>
      <c r="E672" s="137">
        <f t="shared" si="1398"/>
        <v>0</v>
      </c>
      <c r="F672" s="137">
        <f t="shared" si="1398"/>
        <v>0</v>
      </c>
      <c r="G672" s="137">
        <f t="shared" si="1398"/>
        <v>0</v>
      </c>
      <c r="H672" s="137">
        <f t="shared" si="1398"/>
        <v>0</v>
      </c>
      <c r="I672" s="137">
        <f t="shared" si="1398"/>
        <v>0</v>
      </c>
      <c r="J672" s="137">
        <f t="shared" si="1398"/>
        <v>0</v>
      </c>
      <c r="K672" s="137">
        <f t="shared" si="1398"/>
        <v>0</v>
      </c>
      <c r="L672" s="137">
        <f t="shared" si="1398"/>
        <v>0</v>
      </c>
      <c r="M672" s="137">
        <f t="shared" si="1398"/>
        <v>0</v>
      </c>
      <c r="N672" s="137">
        <f t="shared" si="1398"/>
        <v>0</v>
      </c>
      <c r="O672" s="137">
        <f t="shared" si="1398"/>
        <v>0</v>
      </c>
      <c r="P672" s="137">
        <f t="shared" si="1398"/>
        <v>0</v>
      </c>
      <c r="Q672" s="137">
        <f t="shared" si="1398"/>
        <v>0</v>
      </c>
      <c r="R672" s="137">
        <f t="shared" si="1398"/>
        <v>0</v>
      </c>
      <c r="S672" s="137">
        <f t="shared" si="1398"/>
        <v>0</v>
      </c>
      <c r="T672" s="137">
        <f t="shared" si="1398"/>
        <v>0</v>
      </c>
      <c r="U672" s="137">
        <f t="shared" si="1398"/>
        <v>0</v>
      </c>
      <c r="V672" s="137">
        <f t="shared" si="1398"/>
        <v>0</v>
      </c>
      <c r="W672" s="137">
        <f t="shared" si="1398"/>
        <v>0</v>
      </c>
      <c r="X672" s="137">
        <f t="shared" si="1398"/>
        <v>0</v>
      </c>
      <c r="Y672" s="137">
        <f t="shared" si="1398"/>
        <v>0</v>
      </c>
      <c r="Z672" s="137">
        <f t="shared" si="1398"/>
        <v>0</v>
      </c>
      <c r="AA672" s="137">
        <f t="shared" si="1398"/>
        <v>0</v>
      </c>
      <c r="AB672" s="137">
        <f t="shared" si="1398"/>
        <v>0</v>
      </c>
      <c r="AC672" s="137">
        <f t="shared" si="1398"/>
        <v>0</v>
      </c>
      <c r="AD672" s="137">
        <f t="shared" si="1398"/>
        <v>0</v>
      </c>
      <c r="AE672" s="137">
        <f t="shared" si="1398"/>
        <v>0</v>
      </c>
      <c r="AF672" s="137">
        <f t="shared" si="1398"/>
        <v>0</v>
      </c>
      <c r="AG672" s="137">
        <f t="shared" si="1398"/>
        <v>0</v>
      </c>
      <c r="AH672" s="137">
        <f t="shared" si="1398"/>
        <v>0</v>
      </c>
      <c r="AI672" s="137">
        <f t="shared" si="1398"/>
        <v>0</v>
      </c>
      <c r="AJ672" s="137">
        <f t="shared" si="1398"/>
        <v>0</v>
      </c>
      <c r="AK672" s="137">
        <f t="shared" si="1398"/>
        <v>0</v>
      </c>
      <c r="AL672" s="137">
        <f t="shared" si="1398"/>
        <v>0</v>
      </c>
      <c r="AM672" s="137">
        <f t="shared" si="1398"/>
        <v>0</v>
      </c>
      <c r="AN672" s="137">
        <f>ROUND(INDEX(MO_UI_PAE,0,COLUMN())-INDEX(MO_RIS_PAE,0,COLUMN()),6)</f>
        <v>0</v>
      </c>
      <c r="AO672" s="137">
        <f t="shared" si="1398"/>
        <v>0</v>
      </c>
      <c r="AP672" s="137">
        <f t="shared" si="1398"/>
        <v>0</v>
      </c>
      <c r="AQ672" s="137">
        <f t="shared" si="1398"/>
        <v>0</v>
      </c>
      <c r="AR672" s="137">
        <f t="shared" si="1399" ref="AR672:AW672">ROUND(INDEX(MO_UI_PAE,0,COLUMN())-INDEX(MO_RIS_PAE,0,COLUMN()),6)</f>
        <v>0</v>
      </c>
      <c r="AS672" s="137">
        <f t="shared" si="1399"/>
        <v>0</v>
      </c>
      <c r="AT672" s="137">
        <f t="shared" si="1399"/>
        <v>0</v>
      </c>
      <c r="AU672" s="137">
        <f t="shared" si="1399"/>
        <v>0</v>
      </c>
      <c r="AV672" s="137">
        <f t="shared" si="1399"/>
        <v>0</v>
      </c>
      <c r="AW672" s="137">
        <f t="shared" si="1399"/>
        <v>0</v>
      </c>
      <c r="AX672" s="137">
        <f t="shared" si="1400" ref="AX672:BC672">ROUND(INDEX(MO_UI_PAE,0,COLUMN())-INDEX(MO_RIS_PAE,0,COLUMN()),6)</f>
        <v>0</v>
      </c>
      <c r="AY672" s="137">
        <f t="shared" si="1400"/>
        <v>0</v>
      </c>
      <c r="AZ672" s="137">
        <f t="shared" si="1400"/>
        <v>0</v>
      </c>
      <c r="BA672" s="137">
        <f t="shared" si="1400"/>
        <v>0</v>
      </c>
      <c r="BB672" s="137">
        <f t="shared" si="1400"/>
        <v>0</v>
      </c>
      <c r="BC672" s="137">
        <f t="shared" si="1400"/>
        <v>0</v>
      </c>
      <c r="BD672" s="137">
        <f>ROUND(INDEX(MO_UI_PAE,0,COLUMN())-INDEX(MO_RIS_PAE,0,COLUMN()),6)</f>
        <v>0</v>
      </c>
      <c r="BE672" s="137">
        <f>ROUND(INDEX(MO_UI_PAE,0,COLUMN())-INDEX(MO_RIS_PAE,0,COLUMN()),6)</f>
        <v>0</v>
      </c>
      <c r="BF672" s="137">
        <f>ROUND(INDEX(MO_UI_PAE,0,COLUMN())-INDEX(MO_RIS_PAE,0,COLUMN()),6)</f>
        <v>0</v>
      </c>
      <c r="BG672" s="137">
        <f>ROUND(INDEX(MO_UI_PAE,0,COLUMN())-INDEX(MO_RIS_PAE,0,COLUMN()),6)</f>
        <v>0</v>
      </c>
      <c r="BH672" s="555">
        <f>ROUND(INDEX(MO_UI_PAE,0,COLUMN())-INDEX(MO_RIS_PAE,0,COLUMN()),6)</f>
        <v>0</v>
      </c>
      <c r="BI672" s="137"/>
      <c r="BJ672" s="137"/>
      <c r="BK672" s="137"/>
      <c r="BL672" s="137"/>
      <c r="BM672" s="137"/>
      <c r="BN672" s="137"/>
      <c r="BO672" s="137"/>
      <c r="BP672" s="137"/>
      <c r="BQ672" s="137"/>
      <c r="BR672" s="137"/>
      <c r="BS672" s="833"/>
    </row>
    <row r="673" spans="1:71" s="24" customFormat="1" ht="15">
      <c r="A673" s="833" t="s">
        <v>269</v>
      </c>
      <c r="B673" s="430"/>
      <c r="C673" s="137">
        <f t="shared" si="1401" ref="C673:AW673">ROUND(INDEX(MO_UI_OOE,0,COLUMN())-INDEX(MO_RIS_OOE,0,COLUMN())+C333,6)</f>
        <v>0</v>
      </c>
      <c r="D673" s="137">
        <f t="shared" si="1401"/>
        <v>0</v>
      </c>
      <c r="E673" s="137">
        <f t="shared" si="1401"/>
        <v>0</v>
      </c>
      <c r="F673" s="137">
        <f t="shared" si="1401"/>
        <v>0</v>
      </c>
      <c r="G673" s="137">
        <f t="shared" si="1401"/>
        <v>0</v>
      </c>
      <c r="H673" s="137">
        <f t="shared" si="1401"/>
        <v>0</v>
      </c>
      <c r="I673" s="137">
        <f t="shared" si="1401"/>
        <v>0</v>
      </c>
      <c r="J673" s="137">
        <f t="shared" si="1401"/>
        <v>0</v>
      </c>
      <c r="K673" s="137">
        <f t="shared" si="1401"/>
        <v>0</v>
      </c>
      <c r="L673" s="137">
        <f t="shared" si="1401"/>
        <v>0</v>
      </c>
      <c r="M673" s="137">
        <f t="shared" si="1401"/>
        <v>0</v>
      </c>
      <c r="N673" s="137">
        <f t="shared" si="1401"/>
        <v>0</v>
      </c>
      <c r="O673" s="137">
        <f t="shared" si="1401"/>
        <v>0</v>
      </c>
      <c r="P673" s="137">
        <f t="shared" si="1401"/>
        <v>0</v>
      </c>
      <c r="Q673" s="137">
        <f t="shared" si="1401"/>
        <v>0</v>
      </c>
      <c r="R673" s="137">
        <f t="shared" si="1401"/>
        <v>0</v>
      </c>
      <c r="S673" s="137">
        <f t="shared" si="1401"/>
        <v>0</v>
      </c>
      <c r="T673" s="137">
        <f t="shared" si="1401"/>
        <v>0</v>
      </c>
      <c r="U673" s="137">
        <f t="shared" si="1401"/>
        <v>0</v>
      </c>
      <c r="V673" s="137">
        <f t="shared" si="1401"/>
        <v>0</v>
      </c>
      <c r="W673" s="137">
        <f t="shared" si="1401"/>
        <v>0</v>
      </c>
      <c r="X673" s="137">
        <f t="shared" si="1401"/>
        <v>0</v>
      </c>
      <c r="Y673" s="137">
        <f t="shared" si="1401"/>
        <v>0</v>
      </c>
      <c r="Z673" s="137">
        <f t="shared" si="1401"/>
        <v>0</v>
      </c>
      <c r="AA673" s="137">
        <f t="shared" si="1401"/>
        <v>0</v>
      </c>
      <c r="AB673" s="137">
        <f t="shared" si="1401"/>
        <v>0</v>
      </c>
      <c r="AC673" s="137">
        <f t="shared" si="1401"/>
        <v>0</v>
      </c>
      <c r="AD673" s="137">
        <f t="shared" si="1401"/>
        <v>0</v>
      </c>
      <c r="AE673" s="137">
        <f t="shared" si="1401"/>
        <v>0</v>
      </c>
      <c r="AF673" s="137">
        <f t="shared" si="1401"/>
        <v>0</v>
      </c>
      <c r="AG673" s="137">
        <f t="shared" si="1401"/>
        <v>0</v>
      </c>
      <c r="AH673" s="137">
        <f t="shared" si="1401"/>
        <v>0</v>
      </c>
      <c r="AI673" s="137">
        <f t="shared" si="1401"/>
        <v>0</v>
      </c>
      <c r="AJ673" s="137">
        <f t="shared" si="1401"/>
        <v>0</v>
      </c>
      <c r="AK673" s="137">
        <f t="shared" si="1401"/>
        <v>0</v>
      </c>
      <c r="AL673" s="137">
        <f t="shared" si="1401"/>
        <v>0</v>
      </c>
      <c r="AM673" s="137">
        <f t="shared" si="1401"/>
        <v>0</v>
      </c>
      <c r="AN673" s="137">
        <f t="shared" si="1401"/>
        <v>0</v>
      </c>
      <c r="AO673" s="137">
        <f t="shared" si="1401"/>
        <v>0</v>
      </c>
      <c r="AP673" s="137">
        <f t="shared" si="1401"/>
        <v>0</v>
      </c>
      <c r="AQ673" s="137">
        <f t="shared" si="1401"/>
        <v>0</v>
      </c>
      <c r="AR673" s="137">
        <f t="shared" si="1401"/>
        <v>0</v>
      </c>
      <c r="AS673" s="137">
        <f t="shared" si="1401"/>
        <v>0</v>
      </c>
      <c r="AT673" s="137">
        <f t="shared" si="1401"/>
        <v>0</v>
      </c>
      <c r="AU673" s="137">
        <f t="shared" si="1401"/>
        <v>0</v>
      </c>
      <c r="AV673" s="137">
        <f t="shared" si="1401"/>
        <v>0</v>
      </c>
      <c r="AW673" s="137">
        <f t="shared" si="1401"/>
        <v>0</v>
      </c>
      <c r="AX673" s="137">
        <f t="shared" si="1402" ref="AX673:BC673">ROUND(INDEX(MO_UI_OOE,0,COLUMN())-INDEX(MO_RIS_OOE,0,COLUMN())+AX333,6)</f>
        <v>0</v>
      </c>
      <c r="AY673" s="137">
        <f t="shared" si="1402"/>
        <v>0</v>
      </c>
      <c r="AZ673" s="137">
        <f t="shared" si="1402"/>
        <v>0</v>
      </c>
      <c r="BA673" s="137">
        <f t="shared" si="1402"/>
        <v>0</v>
      </c>
      <c r="BB673" s="137">
        <f t="shared" si="1402"/>
        <v>0</v>
      </c>
      <c r="BC673" s="137">
        <f t="shared" si="1402"/>
        <v>0</v>
      </c>
      <c r="BD673" s="137">
        <f>ROUND(INDEX(MO_UI_OOE,0,COLUMN())-INDEX(MO_RIS_OOE,0,COLUMN())+BD333,6)</f>
        <v>0</v>
      </c>
      <c r="BE673" s="137">
        <f>ROUND(INDEX(MO_UI_OOE,0,COLUMN())-INDEX(MO_RIS_OOE,0,COLUMN())+BE333,6)</f>
        <v>0</v>
      </c>
      <c r="BF673" s="137">
        <f>ROUND(INDEX(MO_UI_OOE,0,COLUMN())-INDEX(MO_RIS_OOE,0,COLUMN())+BF333,6)</f>
        <v>0</v>
      </c>
      <c r="BG673" s="137">
        <f>ROUND(INDEX(MO_UI_OOE,0,COLUMN())-INDEX(MO_RIS_OOE,0,COLUMN())+BG333,6)</f>
        <v>0</v>
      </c>
      <c r="BH673" s="555">
        <f>ROUND(INDEX(MO_UI_OOE,0,COLUMN())-INDEX(MO_RIS_OOE,0,COLUMN())+BH333,6)</f>
        <v>0</v>
      </c>
      <c r="BI673" s="137"/>
      <c r="BJ673" s="137"/>
      <c r="BK673" s="137"/>
      <c r="BL673" s="137"/>
      <c r="BM673" s="137"/>
      <c r="BN673" s="137"/>
      <c r="BO673" s="137"/>
      <c r="BP673" s="137"/>
      <c r="BQ673" s="137"/>
      <c r="BR673" s="137"/>
      <c r="BS673" s="833"/>
    </row>
    <row r="674" spans="1:71" s="24" customFormat="1" ht="15">
      <c r="A674" s="833" t="s">
        <v>270</v>
      </c>
      <c r="B674" s="430"/>
      <c r="C674" s="137">
        <f t="shared" si="1403" ref="C674:AQ674">ROUND(INDEX(MO_II_NetII,0,COLUMN())-INDEX(MO_RIS_NetII,0,COLUMN()),6)</f>
        <v>0</v>
      </c>
      <c r="D674" s="137">
        <f t="shared" si="1403"/>
        <v>0</v>
      </c>
      <c r="E674" s="137">
        <f t="shared" si="1403"/>
        <v>0</v>
      </c>
      <c r="F674" s="137">
        <f t="shared" si="1403"/>
        <v>0</v>
      </c>
      <c r="G674" s="137">
        <f t="shared" si="1403"/>
        <v>0</v>
      </c>
      <c r="H674" s="137">
        <f t="shared" si="1403"/>
        <v>0</v>
      </c>
      <c r="I674" s="137">
        <f t="shared" si="1403"/>
        <v>0</v>
      </c>
      <c r="J674" s="137">
        <f t="shared" si="1403"/>
        <v>0</v>
      </c>
      <c r="K674" s="137">
        <f t="shared" si="1403"/>
        <v>0</v>
      </c>
      <c r="L674" s="137">
        <f t="shared" si="1403"/>
        <v>0</v>
      </c>
      <c r="M674" s="137">
        <f t="shared" si="1403"/>
        <v>0</v>
      </c>
      <c r="N674" s="137">
        <f t="shared" si="1403"/>
        <v>0</v>
      </c>
      <c r="O674" s="137">
        <f t="shared" si="1403"/>
        <v>0</v>
      </c>
      <c r="P674" s="137">
        <f t="shared" si="1403"/>
        <v>0</v>
      </c>
      <c r="Q674" s="137">
        <f t="shared" si="1403"/>
        <v>0</v>
      </c>
      <c r="R674" s="137">
        <f t="shared" si="1403"/>
        <v>0</v>
      </c>
      <c r="S674" s="137">
        <f t="shared" si="1403"/>
        <v>0</v>
      </c>
      <c r="T674" s="137">
        <f t="shared" si="1403"/>
        <v>0</v>
      </c>
      <c r="U674" s="137">
        <f t="shared" si="1403"/>
        <v>0</v>
      </c>
      <c r="V674" s="137">
        <f t="shared" si="1403"/>
        <v>0</v>
      </c>
      <c r="W674" s="137">
        <f t="shared" si="1403"/>
        <v>0</v>
      </c>
      <c r="X674" s="137">
        <f t="shared" si="1403"/>
        <v>0</v>
      </c>
      <c r="Y674" s="137">
        <f t="shared" si="1403"/>
        <v>0</v>
      </c>
      <c r="Z674" s="137">
        <f t="shared" si="1403"/>
        <v>0</v>
      </c>
      <c r="AA674" s="137">
        <f t="shared" si="1403"/>
        <v>0</v>
      </c>
      <c r="AB674" s="137">
        <f t="shared" si="1403"/>
        <v>0</v>
      </c>
      <c r="AC674" s="137">
        <f t="shared" si="1403"/>
        <v>0</v>
      </c>
      <c r="AD674" s="137">
        <f t="shared" si="1403"/>
        <v>0</v>
      </c>
      <c r="AE674" s="137">
        <f t="shared" si="1403"/>
        <v>0</v>
      </c>
      <c r="AF674" s="137">
        <f t="shared" si="1403"/>
        <v>0</v>
      </c>
      <c r="AG674" s="137">
        <f t="shared" si="1403"/>
        <v>0</v>
      </c>
      <c r="AH674" s="137">
        <f t="shared" si="1403"/>
        <v>0</v>
      </c>
      <c r="AI674" s="137">
        <f t="shared" si="1403"/>
        <v>0</v>
      </c>
      <c r="AJ674" s="137">
        <f t="shared" si="1403"/>
        <v>0</v>
      </c>
      <c r="AK674" s="137">
        <f t="shared" si="1403"/>
        <v>0</v>
      </c>
      <c r="AL674" s="137">
        <f t="shared" si="1403"/>
        <v>0</v>
      </c>
      <c r="AM674" s="137">
        <f t="shared" si="1403"/>
        <v>0</v>
      </c>
      <c r="AN674" s="137">
        <f>ROUND(INDEX(MO_II_NetII,0,COLUMN())-INDEX(MO_RIS_NetII,0,COLUMN()),6)</f>
        <v>0</v>
      </c>
      <c r="AO674" s="137">
        <f t="shared" si="1403"/>
        <v>0</v>
      </c>
      <c r="AP674" s="137">
        <f t="shared" si="1403"/>
        <v>0</v>
      </c>
      <c r="AQ674" s="137">
        <f t="shared" si="1403"/>
        <v>0</v>
      </c>
      <c r="AR674" s="137">
        <f t="shared" si="1404" ref="AR674:AW674">ROUND(INDEX(MO_II_NetII,0,COLUMN())-INDEX(MO_RIS_NetII,0,COLUMN()),6)</f>
        <v>0</v>
      </c>
      <c r="AS674" s="137">
        <f t="shared" si="1404"/>
        <v>0</v>
      </c>
      <c r="AT674" s="137">
        <f t="shared" si="1404"/>
        <v>0</v>
      </c>
      <c r="AU674" s="137">
        <f t="shared" si="1404"/>
        <v>0</v>
      </c>
      <c r="AV674" s="137">
        <f t="shared" si="1404"/>
        <v>0</v>
      </c>
      <c r="AW674" s="137">
        <f t="shared" si="1404"/>
        <v>0</v>
      </c>
      <c r="AX674" s="137">
        <f t="shared" si="1405" ref="AX674:BJ674">ROUND(INDEX(MO_II_NetII,0,COLUMN())-INDEX(MO_RIS_NetII,0,COLUMN()),6)</f>
        <v>0</v>
      </c>
      <c r="AY674" s="137">
        <f t="shared" si="1405"/>
        <v>0</v>
      </c>
      <c r="AZ674" s="137">
        <f t="shared" si="1405"/>
        <v>0</v>
      </c>
      <c r="BA674" s="137">
        <f t="shared" si="1406" ref="BA674:BI674">ROUND(INDEX(MO_II_NetII,0,COLUMN())-INDEX(MO_RIS_NetII,0,COLUMN()),6)</f>
        <v>0</v>
      </c>
      <c r="BB674" s="137">
        <f t="shared" si="1406"/>
        <v>0</v>
      </c>
      <c r="BC674" s="137">
        <f t="shared" si="1406"/>
        <v>0</v>
      </c>
      <c r="BD674" s="137">
        <f t="shared" si="1406"/>
        <v>0</v>
      </c>
      <c r="BE674" s="137">
        <f t="shared" si="1406"/>
        <v>0</v>
      </c>
      <c r="BF674" s="137">
        <f>ROUND(INDEX(MO_II_NetII,0,COLUMN())-INDEX(MO_RIS_NetII,0,COLUMN()),6)</f>
        <v>0</v>
      </c>
      <c r="BG674" s="137">
        <f>ROUND(INDEX(MO_II_NetII,0,COLUMN())-INDEX(MO_RIS_NetII,0,COLUMN()),6)</f>
        <v>0</v>
      </c>
      <c r="BH674" s="555">
        <f>ROUND(INDEX(MO_II_NetII,0,COLUMN())-INDEX(MO_RIS_NetII,0,COLUMN()),6)</f>
        <v>0</v>
      </c>
      <c r="BI674" s="137">
        <f t="shared" si="1406"/>
        <v>0</v>
      </c>
      <c r="BJ674" s="137">
        <f t="shared" si="1405"/>
        <v>0</v>
      </c>
      <c r="BK674" s="137">
        <f t="shared" si="1407" ref="BK674:BR674">ROUND(INDEX(MO_II_NetII,0,COLUMN())-INDEX(MO_RIS_NetII,0,COLUMN()),6)</f>
        <v>0</v>
      </c>
      <c r="BL674" s="137">
        <f t="shared" si="1407"/>
        <v>0</v>
      </c>
      <c r="BM674" s="137">
        <f t="shared" si="1407"/>
        <v>0</v>
      </c>
      <c r="BN674" s="137">
        <f t="shared" si="1407"/>
        <v>0</v>
      </c>
      <c r="BO674" s="137">
        <f t="shared" si="1407"/>
        <v>0</v>
      </c>
      <c r="BP674" s="137">
        <f t="shared" si="1407"/>
        <v>0</v>
      </c>
      <c r="BQ674" s="137">
        <f t="shared" si="1407"/>
        <v>0</v>
      </c>
      <c r="BR674" s="137">
        <f t="shared" si="1407"/>
        <v>0</v>
      </c>
      <c r="BS674" s="833"/>
    </row>
    <row r="675" spans="1:71" s="24" customFormat="1" ht="15">
      <c r="A675" s="833" t="s">
        <v>271</v>
      </c>
      <c r="B675" s="430"/>
      <c r="C675" s="137">
        <f t="shared" si="1408" ref="C675:AQ675">ROUND(INDEX(MO_II_NetIG,0,COLUMN())-INDEX(MO_RIS_NetIG,0,COLUMN()),6)</f>
        <v>0</v>
      </c>
      <c r="D675" s="137">
        <f t="shared" si="1408"/>
        <v>0</v>
      </c>
      <c r="E675" s="137">
        <f t="shared" si="1408"/>
        <v>0</v>
      </c>
      <c r="F675" s="137">
        <f t="shared" si="1408"/>
        <v>0</v>
      </c>
      <c r="G675" s="137">
        <f t="shared" si="1408"/>
        <v>0</v>
      </c>
      <c r="H675" s="137">
        <f t="shared" si="1408"/>
        <v>0</v>
      </c>
      <c r="I675" s="137">
        <f t="shared" si="1408"/>
        <v>0</v>
      </c>
      <c r="J675" s="137">
        <f t="shared" si="1408"/>
        <v>0</v>
      </c>
      <c r="K675" s="137">
        <f t="shared" si="1408"/>
        <v>0</v>
      </c>
      <c r="L675" s="137">
        <f t="shared" si="1408"/>
        <v>0</v>
      </c>
      <c r="M675" s="137">
        <f t="shared" si="1408"/>
        <v>0</v>
      </c>
      <c r="N675" s="137">
        <f t="shared" si="1408"/>
        <v>0</v>
      </c>
      <c r="O675" s="137">
        <f t="shared" si="1408"/>
        <v>0</v>
      </c>
      <c r="P675" s="137">
        <f t="shared" si="1408"/>
        <v>0</v>
      </c>
      <c r="Q675" s="137">
        <f t="shared" si="1408"/>
        <v>0</v>
      </c>
      <c r="R675" s="137">
        <f t="shared" si="1408"/>
        <v>0</v>
      </c>
      <c r="S675" s="137">
        <f t="shared" si="1408"/>
        <v>0</v>
      </c>
      <c r="T675" s="137">
        <f t="shared" si="1408"/>
        <v>0</v>
      </c>
      <c r="U675" s="137">
        <f t="shared" si="1408"/>
        <v>0</v>
      </c>
      <c r="V675" s="137">
        <f t="shared" si="1408"/>
        <v>0</v>
      </c>
      <c r="W675" s="137">
        <f t="shared" si="1408"/>
        <v>0</v>
      </c>
      <c r="X675" s="137">
        <f t="shared" si="1408"/>
        <v>0</v>
      </c>
      <c r="Y675" s="137">
        <f t="shared" si="1408"/>
        <v>0</v>
      </c>
      <c r="Z675" s="137">
        <f t="shared" si="1408"/>
        <v>0</v>
      </c>
      <c r="AA675" s="137">
        <f t="shared" si="1408"/>
        <v>0</v>
      </c>
      <c r="AB675" s="137">
        <f t="shared" si="1408"/>
        <v>0</v>
      </c>
      <c r="AC675" s="137">
        <f t="shared" si="1408"/>
        <v>0</v>
      </c>
      <c r="AD675" s="137">
        <f t="shared" si="1408"/>
        <v>0</v>
      </c>
      <c r="AE675" s="137">
        <f t="shared" si="1408"/>
        <v>0</v>
      </c>
      <c r="AF675" s="137">
        <f t="shared" si="1408"/>
        <v>0</v>
      </c>
      <c r="AG675" s="137">
        <f t="shared" si="1408"/>
        <v>0</v>
      </c>
      <c r="AH675" s="137">
        <f t="shared" si="1408"/>
        <v>0</v>
      </c>
      <c r="AI675" s="137">
        <f t="shared" si="1408"/>
        <v>0</v>
      </c>
      <c r="AJ675" s="137">
        <f t="shared" si="1408"/>
        <v>0</v>
      </c>
      <c r="AK675" s="137">
        <f t="shared" si="1408"/>
        <v>0</v>
      </c>
      <c r="AL675" s="137">
        <f t="shared" si="1408"/>
        <v>0</v>
      </c>
      <c r="AM675" s="137">
        <f t="shared" si="1408"/>
        <v>0</v>
      </c>
      <c r="AN675" s="137">
        <f>ROUND(INDEX(MO_II_NetIG,0,COLUMN())-INDEX(MO_RIS_NetIG,0,COLUMN()),6)</f>
        <v>0</v>
      </c>
      <c r="AO675" s="137">
        <f t="shared" si="1408"/>
        <v>0</v>
      </c>
      <c r="AP675" s="137">
        <f t="shared" si="1408"/>
        <v>0</v>
      </c>
      <c r="AQ675" s="137">
        <f t="shared" si="1408"/>
        <v>0</v>
      </c>
      <c r="AR675" s="137">
        <f t="shared" si="1409" ref="AR675:AW675">ROUND(INDEX(MO_II_NetIG,0,COLUMN())-INDEX(MO_RIS_NetIG,0,COLUMN()),6)</f>
        <v>0</v>
      </c>
      <c r="AS675" s="137">
        <f t="shared" si="1409"/>
        <v>0</v>
      </c>
      <c r="AT675" s="137">
        <f t="shared" si="1409"/>
        <v>0</v>
      </c>
      <c r="AU675" s="137">
        <f t="shared" si="1409"/>
        <v>0</v>
      </c>
      <c r="AV675" s="137">
        <f t="shared" si="1409"/>
        <v>0</v>
      </c>
      <c r="AW675" s="137">
        <f t="shared" si="1409"/>
        <v>0</v>
      </c>
      <c r="AX675" s="137">
        <f t="shared" si="1410" ref="AX675:BJ675">ROUND(INDEX(MO_II_NetIG,0,COLUMN())-INDEX(MO_RIS_NetIG,0,COLUMN()),6)</f>
        <v>0</v>
      </c>
      <c r="AY675" s="137">
        <f t="shared" si="1410"/>
        <v>0</v>
      </c>
      <c r="AZ675" s="137">
        <f t="shared" si="1410"/>
        <v>0</v>
      </c>
      <c r="BA675" s="137">
        <f t="shared" si="1411" ref="BA675:BI675">ROUND(INDEX(MO_II_NetIG,0,COLUMN())-INDEX(MO_RIS_NetIG,0,COLUMN()),6)</f>
        <v>0</v>
      </c>
      <c r="BB675" s="137">
        <f t="shared" si="1411"/>
        <v>0</v>
      </c>
      <c r="BC675" s="137">
        <f t="shared" si="1411"/>
        <v>0</v>
      </c>
      <c r="BD675" s="137">
        <f t="shared" si="1411"/>
        <v>0</v>
      </c>
      <c r="BE675" s="137">
        <f t="shared" si="1411"/>
        <v>0</v>
      </c>
      <c r="BF675" s="137">
        <f>ROUND(INDEX(MO_II_NetIG,0,COLUMN())-INDEX(MO_RIS_NetIG,0,COLUMN()),6)</f>
        <v>0</v>
      </c>
      <c r="BG675" s="137">
        <f>ROUND(INDEX(MO_II_NetIG,0,COLUMN())-INDEX(MO_RIS_NetIG,0,COLUMN()),6)</f>
        <v>0</v>
      </c>
      <c r="BH675" s="555">
        <f>ROUND(INDEX(MO_II_NetIG,0,COLUMN())-INDEX(MO_RIS_NetIG,0,COLUMN()),6)</f>
        <v>0</v>
      </c>
      <c r="BI675" s="137">
        <f t="shared" si="1411"/>
        <v>0</v>
      </c>
      <c r="BJ675" s="137">
        <f t="shared" si="1410"/>
        <v>0</v>
      </c>
      <c r="BK675" s="137">
        <f t="shared" si="1412" ref="BK675:BR675">ROUND(INDEX(MO_II_NetIG,0,COLUMN())-INDEX(MO_RIS_NetIG,0,COLUMN()),6)</f>
        <v>0</v>
      </c>
      <c r="BL675" s="137">
        <f t="shared" si="1412"/>
        <v>0</v>
      </c>
      <c r="BM675" s="137">
        <f t="shared" si="1412"/>
        <v>0</v>
      </c>
      <c r="BN675" s="137">
        <f t="shared" si="1412"/>
        <v>0</v>
      </c>
      <c r="BO675" s="137">
        <f t="shared" si="1412"/>
        <v>0</v>
      </c>
      <c r="BP675" s="137">
        <f t="shared" si="1412"/>
        <v>0</v>
      </c>
      <c r="BQ675" s="137">
        <f t="shared" si="1412"/>
        <v>0</v>
      </c>
      <c r="BR675" s="137">
        <f t="shared" si="1412"/>
        <v>0</v>
      </c>
      <c r="BS675" s="833"/>
    </row>
    <row r="676" spans="1:71" s="24" customFormat="1" ht="15">
      <c r="A676" s="833" t="s">
        <v>272</v>
      </c>
      <c r="B676" s="430"/>
      <c r="C676" s="137">
        <f t="shared" si="1413" ref="C676:AQ676">ROUND(INDEX(MO_UI_UnderwritingExpense,0,COLUMN())-INDEX(MO_UI_Loss,0,COLUMN())-INDEX(MO_UI_PAE,0,COLUMN())-INDEX(MO_UI_OOE,0,COLUMN()),6)</f>
        <v>0</v>
      </c>
      <c r="D676" s="137">
        <f t="shared" si="1413"/>
        <v>0</v>
      </c>
      <c r="E676" s="137">
        <f t="shared" si="1413"/>
        <v>0</v>
      </c>
      <c r="F676" s="137">
        <f t="shared" si="1413"/>
        <v>0</v>
      </c>
      <c r="G676" s="137">
        <f t="shared" si="1413"/>
        <v>0</v>
      </c>
      <c r="H676" s="137">
        <f t="shared" si="1413"/>
        <v>0</v>
      </c>
      <c r="I676" s="137">
        <f t="shared" si="1413"/>
        <v>0</v>
      </c>
      <c r="J676" s="137">
        <f t="shared" si="1413"/>
        <v>0</v>
      </c>
      <c r="K676" s="137">
        <f t="shared" si="1413"/>
        <v>0</v>
      </c>
      <c r="L676" s="137">
        <f t="shared" si="1413"/>
        <v>0</v>
      </c>
      <c r="M676" s="137">
        <f t="shared" si="1413"/>
        <v>0</v>
      </c>
      <c r="N676" s="137">
        <f t="shared" si="1413"/>
        <v>0</v>
      </c>
      <c r="O676" s="137">
        <f t="shared" si="1413"/>
        <v>0</v>
      </c>
      <c r="P676" s="137">
        <f t="shared" si="1413"/>
        <v>0</v>
      </c>
      <c r="Q676" s="137">
        <f t="shared" si="1413"/>
        <v>0</v>
      </c>
      <c r="R676" s="137">
        <f t="shared" si="1413"/>
        <v>0</v>
      </c>
      <c r="S676" s="137">
        <f t="shared" si="1413"/>
        <v>0</v>
      </c>
      <c r="T676" s="137">
        <f t="shared" si="1413"/>
        <v>0</v>
      </c>
      <c r="U676" s="137">
        <f t="shared" si="1413"/>
        <v>0</v>
      </c>
      <c r="V676" s="137">
        <f t="shared" si="1413"/>
        <v>0</v>
      </c>
      <c r="W676" s="137">
        <f t="shared" si="1413"/>
        <v>0</v>
      </c>
      <c r="X676" s="137">
        <f t="shared" si="1413"/>
        <v>0</v>
      </c>
      <c r="Y676" s="137">
        <f t="shared" si="1413"/>
        <v>0</v>
      </c>
      <c r="Z676" s="137">
        <f t="shared" si="1413"/>
        <v>0</v>
      </c>
      <c r="AA676" s="137">
        <f t="shared" si="1413"/>
        <v>0</v>
      </c>
      <c r="AB676" s="137">
        <f t="shared" si="1413"/>
        <v>0</v>
      </c>
      <c r="AC676" s="137">
        <f t="shared" si="1413"/>
        <v>0</v>
      </c>
      <c r="AD676" s="137">
        <f t="shared" si="1413"/>
        <v>0</v>
      </c>
      <c r="AE676" s="137">
        <f t="shared" si="1413"/>
        <v>0</v>
      </c>
      <c r="AF676" s="137">
        <f t="shared" si="1413"/>
        <v>0</v>
      </c>
      <c r="AG676" s="137">
        <f t="shared" si="1413"/>
        <v>0</v>
      </c>
      <c r="AH676" s="137">
        <f t="shared" si="1413"/>
        <v>0</v>
      </c>
      <c r="AI676" s="137">
        <f t="shared" si="1413"/>
        <v>0</v>
      </c>
      <c r="AJ676" s="137">
        <f t="shared" si="1413"/>
        <v>0</v>
      </c>
      <c r="AK676" s="137">
        <f t="shared" si="1413"/>
        <v>0</v>
      </c>
      <c r="AL676" s="137">
        <f t="shared" si="1413"/>
        <v>0</v>
      </c>
      <c r="AM676" s="137">
        <f t="shared" si="1413"/>
        <v>0</v>
      </c>
      <c r="AN676" s="137">
        <f>ROUND(INDEX(MO_UI_UnderwritingExpense,0,COLUMN())-INDEX(MO_UI_Loss,0,COLUMN())-INDEX(MO_UI_PAE,0,COLUMN())-INDEX(MO_UI_OOE,0,COLUMN()),6)</f>
        <v>0</v>
      </c>
      <c r="AO676" s="137">
        <f t="shared" si="1413"/>
        <v>0</v>
      </c>
      <c r="AP676" s="137">
        <f t="shared" si="1413"/>
        <v>0</v>
      </c>
      <c r="AQ676" s="137">
        <f t="shared" si="1413"/>
        <v>0</v>
      </c>
      <c r="AR676" s="137">
        <f t="shared" si="1414" ref="AR676:AW676">ROUND(INDEX(MO_UI_UnderwritingExpense,0,COLUMN())-INDEX(MO_UI_Loss,0,COLUMN())-INDEX(MO_UI_PAE,0,COLUMN())-INDEX(MO_UI_OOE,0,COLUMN()),6)</f>
        <v>0</v>
      </c>
      <c r="AS676" s="137">
        <f t="shared" si="1414"/>
        <v>0</v>
      </c>
      <c r="AT676" s="137">
        <f t="shared" si="1414"/>
        <v>0</v>
      </c>
      <c r="AU676" s="137">
        <f t="shared" si="1414"/>
        <v>0</v>
      </c>
      <c r="AV676" s="137">
        <f t="shared" si="1414"/>
        <v>0</v>
      </c>
      <c r="AW676" s="137">
        <f t="shared" si="1414"/>
        <v>0</v>
      </c>
      <c r="AX676" s="137">
        <f t="shared" si="1415" ref="AX676:BJ676">ROUND(INDEX(MO_UI_UnderwritingExpense,0,COLUMN())-INDEX(MO_UI_Loss,0,COLUMN())-INDEX(MO_UI_PAE,0,COLUMN())-INDEX(MO_UI_OOE,0,COLUMN()),6)</f>
        <v>0</v>
      </c>
      <c r="AY676" s="137">
        <f t="shared" si="1415"/>
        <v>0</v>
      </c>
      <c r="AZ676" s="137">
        <f t="shared" si="1415"/>
        <v>0</v>
      </c>
      <c r="BA676" s="137">
        <f t="shared" si="1416" ref="BA676:BI676">ROUND(INDEX(MO_UI_UnderwritingExpense,0,COLUMN())-INDEX(MO_UI_Loss,0,COLUMN())-INDEX(MO_UI_PAE,0,COLUMN())-INDEX(MO_UI_OOE,0,COLUMN()),6)</f>
        <v>0</v>
      </c>
      <c r="BB676" s="137">
        <f t="shared" si="1416"/>
        <v>0</v>
      </c>
      <c r="BC676" s="137">
        <f t="shared" si="1416"/>
        <v>0</v>
      </c>
      <c r="BD676" s="137">
        <f t="shared" si="1416"/>
        <v>0</v>
      </c>
      <c r="BE676" s="137">
        <f t="shared" si="1416"/>
        <v>0</v>
      </c>
      <c r="BF676" s="137">
        <f>ROUND(INDEX(MO_UI_UnderwritingExpense,0,COLUMN())-INDEX(MO_UI_Loss,0,COLUMN())-INDEX(MO_UI_PAE,0,COLUMN())-INDEX(MO_UI_OOE,0,COLUMN()),6)</f>
        <v>0</v>
      </c>
      <c r="BG676" s="137">
        <f>ROUND(INDEX(MO_UI_UnderwritingExpense,0,COLUMN())-INDEX(MO_UI_Loss,0,COLUMN())-INDEX(MO_UI_PAE,0,COLUMN())-INDEX(MO_UI_OOE,0,COLUMN()),6)</f>
        <v>0</v>
      </c>
      <c r="BH676" s="555">
        <f>ROUND(INDEX(MO_UI_UnderwritingExpense,0,COLUMN())-INDEX(MO_UI_Loss,0,COLUMN())-INDEX(MO_UI_PAE,0,COLUMN())-INDEX(MO_UI_OOE,0,COLUMN()),6)</f>
        <v>0</v>
      </c>
      <c r="BI676" s="137">
        <f t="shared" si="1416"/>
        <v>0</v>
      </c>
      <c r="BJ676" s="137">
        <f t="shared" si="1415"/>
        <v>0</v>
      </c>
      <c r="BK676" s="137">
        <f t="shared" si="1417" ref="BK676:BR676">ROUND(INDEX(MO_UI_UnderwritingExpense,0,COLUMN())-INDEX(MO_UI_Loss,0,COLUMN())-INDEX(MO_UI_PAE,0,COLUMN())-INDEX(MO_UI_OOE,0,COLUMN()),6)</f>
        <v>0</v>
      </c>
      <c r="BL676" s="137">
        <f t="shared" si="1417"/>
        <v>0</v>
      </c>
      <c r="BM676" s="137">
        <f t="shared" si="1417"/>
        <v>0</v>
      </c>
      <c r="BN676" s="137">
        <f t="shared" si="1417"/>
        <v>0</v>
      </c>
      <c r="BO676" s="137">
        <f t="shared" si="1417"/>
        <v>0</v>
      </c>
      <c r="BP676" s="137">
        <f t="shared" si="1417"/>
        <v>0</v>
      </c>
      <c r="BQ676" s="137">
        <f t="shared" si="1417"/>
        <v>0</v>
      </c>
      <c r="BR676" s="137">
        <f t="shared" si="1417"/>
        <v>0</v>
      </c>
      <c r="BS676" s="833"/>
    </row>
    <row r="677" spans="1:71" s="24" customFormat="1" ht="15">
      <c r="A677" s="411" t="s">
        <v>538</v>
      </c>
      <c r="B677" s="430"/>
      <c r="C677" s="137">
        <f t="shared" si="1418" ref="C677:AM677">ROUND(INDEX(MO_DAC_DAC,0,COLUMN())-C637,5)</f>
        <v>0</v>
      </c>
      <c r="D677" s="137">
        <f t="shared" si="1418"/>
        <v>0</v>
      </c>
      <c r="E677" s="137">
        <f t="shared" si="1418"/>
        <v>0</v>
      </c>
      <c r="F677" s="137">
        <f t="shared" si="1418"/>
        <v>0</v>
      </c>
      <c r="G677" s="137">
        <f t="shared" si="1418"/>
        <v>0</v>
      </c>
      <c r="H677" s="137">
        <f t="shared" si="1418"/>
        <v>0</v>
      </c>
      <c r="I677" s="137">
        <f t="shared" si="1418"/>
        <v>0</v>
      </c>
      <c r="J677" s="137">
        <f t="shared" si="1418"/>
        <v>0</v>
      </c>
      <c r="K677" s="137">
        <f t="shared" si="1418"/>
        <v>0</v>
      </c>
      <c r="L677" s="137">
        <f t="shared" si="1418"/>
        <v>0</v>
      </c>
      <c r="M677" s="137">
        <f t="shared" si="1418"/>
        <v>0</v>
      </c>
      <c r="N677" s="137">
        <f t="shared" si="1418"/>
        <v>0</v>
      </c>
      <c r="O677" s="137">
        <f t="shared" si="1418"/>
        <v>0</v>
      </c>
      <c r="P677" s="137">
        <f t="shared" si="1418"/>
        <v>0</v>
      </c>
      <c r="Q677" s="137">
        <f t="shared" si="1418"/>
        <v>0</v>
      </c>
      <c r="R677" s="137">
        <f t="shared" si="1418"/>
        <v>0</v>
      </c>
      <c r="S677" s="137">
        <f t="shared" si="1418"/>
        <v>0</v>
      </c>
      <c r="T677" s="137">
        <f t="shared" si="1418"/>
        <v>0</v>
      </c>
      <c r="U677" s="137">
        <f t="shared" si="1418"/>
        <v>0</v>
      </c>
      <c r="V677" s="137">
        <f t="shared" si="1418"/>
        <v>0</v>
      </c>
      <c r="W677" s="137">
        <f t="shared" si="1418"/>
        <v>0</v>
      </c>
      <c r="X677" s="137">
        <f t="shared" si="1418"/>
        <v>0</v>
      </c>
      <c r="Y677" s="137">
        <f t="shared" si="1418"/>
        <v>0</v>
      </c>
      <c r="Z677" s="137">
        <f t="shared" si="1418"/>
        <v>0</v>
      </c>
      <c r="AA677" s="137">
        <f t="shared" si="1418"/>
        <v>0</v>
      </c>
      <c r="AB677" s="137">
        <f t="shared" si="1418"/>
        <v>0</v>
      </c>
      <c r="AC677" s="137">
        <f t="shared" si="1418"/>
        <v>0</v>
      </c>
      <c r="AD677" s="137">
        <f t="shared" si="1418"/>
        <v>0</v>
      </c>
      <c r="AE677" s="137">
        <f t="shared" si="1418"/>
        <v>0</v>
      </c>
      <c r="AF677" s="137">
        <f t="shared" si="1418"/>
        <v>0</v>
      </c>
      <c r="AG677" s="137">
        <f t="shared" si="1418"/>
        <v>0</v>
      </c>
      <c r="AH677" s="137">
        <f t="shared" si="1418"/>
        <v>0</v>
      </c>
      <c r="AI677" s="137">
        <f t="shared" si="1418"/>
        <v>0</v>
      </c>
      <c r="AJ677" s="137">
        <f t="shared" si="1418"/>
        <v>0</v>
      </c>
      <c r="AK677" s="137">
        <f t="shared" si="1418"/>
        <v>0</v>
      </c>
      <c r="AL677" s="137">
        <f t="shared" si="1418"/>
        <v>0</v>
      </c>
      <c r="AM677" s="137">
        <f t="shared" si="1418"/>
        <v>0</v>
      </c>
      <c r="AN677" s="137">
        <f>ROUND(INDEX(MO_DAC_DAC,0,COLUMN())-AN637,5)</f>
        <v>0</v>
      </c>
      <c r="AO677" s="137">
        <f t="shared" si="1419" ref="AO677:AQ677">ROUND(INDEX(MO_DAC_DAC,0,COLUMN())-AO637,5)</f>
        <v>0</v>
      </c>
      <c r="AP677" s="137">
        <f t="shared" si="1419"/>
        <v>0</v>
      </c>
      <c r="AQ677" s="137">
        <f t="shared" si="1419"/>
        <v>0</v>
      </c>
      <c r="AR677" s="137">
        <f t="shared" si="1420" ref="AR677:AW677">ROUND(INDEX(MO_DAC_DAC,0,COLUMN())-AR637,5)</f>
        <v>0</v>
      </c>
      <c r="AS677" s="137">
        <f t="shared" si="1420"/>
        <v>0</v>
      </c>
      <c r="AT677" s="137">
        <f t="shared" si="1420"/>
        <v>0</v>
      </c>
      <c r="AU677" s="137">
        <f t="shared" si="1420"/>
        <v>0</v>
      </c>
      <c r="AV677" s="137">
        <f t="shared" si="1420"/>
        <v>0</v>
      </c>
      <c r="AW677" s="137">
        <f t="shared" si="1420"/>
        <v>0</v>
      </c>
      <c r="AX677" s="137">
        <f t="shared" si="1421" ref="AX677:BJ677">ROUND(INDEX(MO_DAC_DAC,0,COLUMN())-AX637,5)</f>
        <v>0</v>
      </c>
      <c r="AY677" s="137">
        <f t="shared" si="1421"/>
        <v>0</v>
      </c>
      <c r="AZ677" s="137">
        <f t="shared" si="1421"/>
        <v>0</v>
      </c>
      <c r="BA677" s="137">
        <f t="shared" si="1422" ref="BA677:BI677">ROUND(INDEX(MO_DAC_DAC,0,COLUMN())-BA637,5)</f>
        <v>0</v>
      </c>
      <c r="BB677" s="137">
        <f t="shared" si="1422"/>
        <v>0</v>
      </c>
      <c r="BC677" s="137">
        <f t="shared" si="1422"/>
        <v>0</v>
      </c>
      <c r="BD677" s="137">
        <f t="shared" si="1422"/>
        <v>0</v>
      </c>
      <c r="BE677" s="137">
        <f t="shared" si="1422"/>
        <v>0</v>
      </c>
      <c r="BF677" s="137">
        <f>ROUND(INDEX(MO_DAC_DAC,0,COLUMN())-BF637,5)</f>
        <v>0</v>
      </c>
      <c r="BG677" s="137">
        <f>ROUND(INDEX(MO_DAC_DAC,0,COLUMN())-BG637,5)</f>
        <v>0</v>
      </c>
      <c r="BH677" s="555">
        <f>ROUND(INDEX(MO_DAC_DAC,0,COLUMN())-BH637,5)</f>
        <v>0</v>
      </c>
      <c r="BI677" s="137">
        <f t="shared" si="1422"/>
        <v>0</v>
      </c>
      <c r="BJ677" s="137">
        <f t="shared" si="1421"/>
        <v>0</v>
      </c>
      <c r="BK677" s="137">
        <f t="shared" si="1423" ref="BK677:BR677">ROUND(INDEX(MO_DAC_DAC,0,COLUMN())-BK637,5)</f>
        <v>0</v>
      </c>
      <c r="BL677" s="137">
        <f t="shared" si="1423"/>
        <v>0</v>
      </c>
      <c r="BM677" s="137">
        <f t="shared" si="1423"/>
        <v>0</v>
      </c>
      <c r="BN677" s="137">
        <f t="shared" si="1423"/>
        <v>0</v>
      </c>
      <c r="BO677" s="137">
        <f t="shared" si="1423"/>
        <v>0</v>
      </c>
      <c r="BP677" s="137">
        <f t="shared" si="1423"/>
        <v>0</v>
      </c>
      <c r="BQ677" s="137">
        <f t="shared" si="1423"/>
        <v>0</v>
      </c>
      <c r="BR677" s="137">
        <f t="shared" si="1423"/>
        <v>0</v>
      </c>
      <c r="BS677" s="833"/>
    </row>
    <row r="678" spans="1:71" s="24" customFormat="1" ht="15">
      <c r="A678" s="833" t="s">
        <v>273</v>
      </c>
      <c r="B678" s="430"/>
      <c r="C678" s="137">
        <f t="shared" si="1424" ref="C678:AM678">ROUND(INDEX(MO_UPR_GUPR,0,COLUMN())-C647,6)</f>
        <v>0</v>
      </c>
      <c r="D678" s="137">
        <f t="shared" si="1424"/>
        <v>0</v>
      </c>
      <c r="E678" s="137">
        <f t="shared" si="1424"/>
        <v>0</v>
      </c>
      <c r="F678" s="137">
        <f t="shared" si="1424"/>
        <v>0</v>
      </c>
      <c r="G678" s="137">
        <f t="shared" si="1424"/>
        <v>0</v>
      </c>
      <c r="H678" s="137">
        <f t="shared" si="1424"/>
        <v>0</v>
      </c>
      <c r="I678" s="137">
        <f t="shared" si="1424"/>
        <v>0</v>
      </c>
      <c r="J678" s="137">
        <f t="shared" si="1424"/>
        <v>0</v>
      </c>
      <c r="K678" s="137">
        <f t="shared" si="1424"/>
        <v>0</v>
      </c>
      <c r="L678" s="137">
        <f t="shared" si="1424"/>
        <v>0</v>
      </c>
      <c r="M678" s="137">
        <f t="shared" si="1424"/>
        <v>0</v>
      </c>
      <c r="N678" s="137">
        <f t="shared" si="1424"/>
        <v>0</v>
      </c>
      <c r="O678" s="137">
        <f t="shared" si="1424"/>
        <v>0</v>
      </c>
      <c r="P678" s="137">
        <f t="shared" si="1424"/>
        <v>0</v>
      </c>
      <c r="Q678" s="137">
        <f t="shared" si="1424"/>
        <v>0</v>
      </c>
      <c r="R678" s="137">
        <f t="shared" si="1424"/>
        <v>0</v>
      </c>
      <c r="S678" s="137">
        <f t="shared" si="1424"/>
        <v>0</v>
      </c>
      <c r="T678" s="137">
        <f t="shared" si="1424"/>
        <v>0</v>
      </c>
      <c r="U678" s="137">
        <f t="shared" si="1424"/>
        <v>0</v>
      </c>
      <c r="V678" s="137">
        <f t="shared" si="1424"/>
        <v>0</v>
      </c>
      <c r="W678" s="137">
        <f t="shared" si="1424"/>
        <v>0</v>
      </c>
      <c r="X678" s="137">
        <f t="shared" si="1424"/>
        <v>0</v>
      </c>
      <c r="Y678" s="137">
        <f t="shared" si="1424"/>
        <v>0</v>
      </c>
      <c r="Z678" s="137">
        <f t="shared" si="1424"/>
        <v>0</v>
      </c>
      <c r="AA678" s="137">
        <f t="shared" si="1424"/>
        <v>0</v>
      </c>
      <c r="AB678" s="137">
        <f t="shared" si="1424"/>
        <v>0</v>
      </c>
      <c r="AC678" s="137">
        <f t="shared" si="1424"/>
        <v>0</v>
      </c>
      <c r="AD678" s="137">
        <f t="shared" si="1424"/>
        <v>0</v>
      </c>
      <c r="AE678" s="137">
        <f t="shared" si="1424"/>
        <v>0</v>
      </c>
      <c r="AF678" s="137">
        <f t="shared" si="1424"/>
        <v>0</v>
      </c>
      <c r="AG678" s="137">
        <f t="shared" si="1424"/>
        <v>0</v>
      </c>
      <c r="AH678" s="137">
        <f t="shared" si="1424"/>
        <v>0</v>
      </c>
      <c r="AI678" s="137">
        <f t="shared" si="1424"/>
        <v>0</v>
      </c>
      <c r="AJ678" s="137">
        <f t="shared" si="1424"/>
        <v>0</v>
      </c>
      <c r="AK678" s="137">
        <f t="shared" si="1424"/>
        <v>0</v>
      </c>
      <c r="AL678" s="137">
        <f t="shared" si="1424"/>
        <v>0</v>
      </c>
      <c r="AM678" s="137">
        <f t="shared" si="1424"/>
        <v>0</v>
      </c>
      <c r="AN678" s="137">
        <f>ROUND(INDEX(MO_UPR_GUPR,0,COLUMN())-AN647,6)</f>
        <v>0</v>
      </c>
      <c r="AO678" s="137">
        <f t="shared" si="1425" ref="AO678:AQ678">ROUND(INDEX(MO_UPR_GUPR,0,COLUMN())-AO647,6)</f>
        <v>0</v>
      </c>
      <c r="AP678" s="137">
        <f t="shared" si="1425"/>
        <v>0</v>
      </c>
      <c r="AQ678" s="137">
        <f t="shared" si="1425"/>
        <v>0</v>
      </c>
      <c r="AR678" s="137">
        <f t="shared" si="1426" ref="AR678:AW678">ROUND(INDEX(MO_UPR_GUPR,0,COLUMN())-AR647,6)</f>
        <v>0</v>
      </c>
      <c r="AS678" s="137">
        <f t="shared" si="1426"/>
        <v>0</v>
      </c>
      <c r="AT678" s="137">
        <f t="shared" si="1426"/>
        <v>0</v>
      </c>
      <c r="AU678" s="137">
        <f t="shared" si="1426"/>
        <v>0</v>
      </c>
      <c r="AV678" s="137">
        <f t="shared" si="1426"/>
        <v>0</v>
      </c>
      <c r="AW678" s="137">
        <f t="shared" si="1426"/>
        <v>0</v>
      </c>
      <c r="AX678" s="137">
        <f t="shared" si="1427" ref="AX678:BJ678">ROUND(INDEX(MO_UPR_GUPR,0,COLUMN())-AX647,6)</f>
        <v>0</v>
      </c>
      <c r="AY678" s="137">
        <f t="shared" si="1427"/>
        <v>0</v>
      </c>
      <c r="AZ678" s="137">
        <f t="shared" si="1427"/>
        <v>0</v>
      </c>
      <c r="BA678" s="137">
        <f t="shared" si="1428" ref="BA678:BI678">ROUND(INDEX(MO_UPR_GUPR,0,COLUMN())-BA647,6)</f>
        <v>0</v>
      </c>
      <c r="BB678" s="137">
        <f t="shared" si="1428"/>
        <v>0</v>
      </c>
      <c r="BC678" s="137">
        <f t="shared" si="1428"/>
        <v>0</v>
      </c>
      <c r="BD678" s="137">
        <f t="shared" si="1428"/>
        <v>0</v>
      </c>
      <c r="BE678" s="137">
        <f t="shared" si="1428"/>
        <v>0</v>
      </c>
      <c r="BF678" s="137">
        <f>ROUND(INDEX(MO_UPR_GUPR,0,COLUMN())-BF647,6)</f>
        <v>0</v>
      </c>
      <c r="BG678" s="137">
        <f>ROUND(INDEX(MO_UPR_GUPR,0,COLUMN())-BG647,6)</f>
        <v>0</v>
      </c>
      <c r="BH678" s="555">
        <f>ROUND(INDEX(MO_UPR_GUPR,0,COLUMN())-BH647,6)</f>
        <v>0</v>
      </c>
      <c r="BI678" s="137">
        <f t="shared" si="1428"/>
        <v>0</v>
      </c>
      <c r="BJ678" s="137">
        <f t="shared" si="1427"/>
        <v>0</v>
      </c>
      <c r="BK678" s="137">
        <f t="shared" si="1429" ref="BK678:BR678">ROUND(INDEX(MO_UPR_GUPR,0,COLUMN())-BK647,6)</f>
        <v>0</v>
      </c>
      <c r="BL678" s="137">
        <f t="shared" si="1429"/>
        <v>0</v>
      </c>
      <c r="BM678" s="137">
        <f t="shared" si="1429"/>
        <v>0</v>
      </c>
      <c r="BN678" s="137">
        <f t="shared" si="1429"/>
        <v>0</v>
      </c>
      <c r="BO678" s="137">
        <f t="shared" si="1429"/>
        <v>0</v>
      </c>
      <c r="BP678" s="137">
        <f t="shared" si="1429"/>
        <v>0</v>
      </c>
      <c r="BQ678" s="137">
        <f t="shared" si="1429"/>
        <v>0</v>
      </c>
      <c r="BR678" s="137">
        <f t="shared" si="1429"/>
        <v>0</v>
      </c>
      <c r="BS678" s="833"/>
    </row>
    <row r="679" spans="1:71" s="24" customFormat="1" ht="15">
      <c r="A679" s="833" t="s">
        <v>274</v>
      </c>
      <c r="B679" s="430"/>
      <c r="C679" s="137">
        <f t="shared" si="1430" ref="C679:AM679">ROUND(INDEX(MO_UPR_CUP,0,COLUMN())-C636,6)</f>
        <v>0</v>
      </c>
      <c r="D679" s="137">
        <f t="shared" si="1430"/>
        <v>0</v>
      </c>
      <c r="E679" s="137">
        <f t="shared" si="1430"/>
        <v>0</v>
      </c>
      <c r="F679" s="137">
        <f t="shared" si="1430"/>
        <v>0</v>
      </c>
      <c r="G679" s="137">
        <f t="shared" si="1430"/>
        <v>0</v>
      </c>
      <c r="H679" s="137">
        <f t="shared" si="1430"/>
        <v>0</v>
      </c>
      <c r="I679" s="137">
        <f t="shared" si="1430"/>
        <v>0</v>
      </c>
      <c r="J679" s="137">
        <f t="shared" si="1430"/>
        <v>0</v>
      </c>
      <c r="K679" s="137">
        <f t="shared" si="1430"/>
        <v>0</v>
      </c>
      <c r="L679" s="137">
        <f t="shared" si="1430"/>
        <v>0</v>
      </c>
      <c r="M679" s="137">
        <f t="shared" si="1430"/>
        <v>0</v>
      </c>
      <c r="N679" s="137">
        <f t="shared" si="1430"/>
        <v>0</v>
      </c>
      <c r="O679" s="137">
        <f t="shared" si="1430"/>
        <v>0</v>
      </c>
      <c r="P679" s="137">
        <f t="shared" si="1430"/>
        <v>0</v>
      </c>
      <c r="Q679" s="137">
        <f t="shared" si="1430"/>
        <v>0</v>
      </c>
      <c r="R679" s="137">
        <f t="shared" si="1430"/>
        <v>0</v>
      </c>
      <c r="S679" s="137">
        <f t="shared" si="1430"/>
        <v>0</v>
      </c>
      <c r="T679" s="137">
        <f t="shared" si="1430"/>
        <v>0</v>
      </c>
      <c r="U679" s="137">
        <f t="shared" si="1430"/>
        <v>0</v>
      </c>
      <c r="V679" s="137">
        <f t="shared" si="1430"/>
        <v>0</v>
      </c>
      <c r="W679" s="137">
        <f t="shared" si="1430"/>
        <v>0</v>
      </c>
      <c r="X679" s="137">
        <f t="shared" si="1430"/>
        <v>0</v>
      </c>
      <c r="Y679" s="137">
        <f t="shared" si="1430"/>
        <v>0</v>
      </c>
      <c r="Z679" s="137">
        <f t="shared" si="1430"/>
        <v>0</v>
      </c>
      <c r="AA679" s="137">
        <f t="shared" si="1430"/>
        <v>0</v>
      </c>
      <c r="AB679" s="137">
        <f t="shared" si="1430"/>
        <v>0</v>
      </c>
      <c r="AC679" s="137">
        <f t="shared" si="1430"/>
        <v>0</v>
      </c>
      <c r="AD679" s="137">
        <f t="shared" si="1430"/>
        <v>0</v>
      </c>
      <c r="AE679" s="137">
        <f t="shared" si="1430"/>
        <v>0</v>
      </c>
      <c r="AF679" s="137">
        <f t="shared" si="1430"/>
        <v>0</v>
      </c>
      <c r="AG679" s="137">
        <f t="shared" si="1430"/>
        <v>0</v>
      </c>
      <c r="AH679" s="137">
        <f t="shared" si="1430"/>
        <v>0</v>
      </c>
      <c r="AI679" s="137">
        <f t="shared" si="1430"/>
        <v>0</v>
      </c>
      <c r="AJ679" s="137">
        <f t="shared" si="1430"/>
        <v>0</v>
      </c>
      <c r="AK679" s="137">
        <f t="shared" si="1430"/>
        <v>0</v>
      </c>
      <c r="AL679" s="137">
        <f t="shared" si="1430"/>
        <v>0</v>
      </c>
      <c r="AM679" s="137">
        <f t="shared" si="1430"/>
        <v>0</v>
      </c>
      <c r="AN679" s="137">
        <f>ROUND(INDEX(MO_UPR_CUP,0,COLUMN())-AN636,6)</f>
        <v>0</v>
      </c>
      <c r="AO679" s="137">
        <f t="shared" si="1431" ref="AO679:AQ679">ROUND(INDEX(MO_UPR_CUP,0,COLUMN())-AO636,6)</f>
        <v>0</v>
      </c>
      <c r="AP679" s="137">
        <f t="shared" si="1431"/>
        <v>0</v>
      </c>
      <c r="AQ679" s="137">
        <f t="shared" si="1431"/>
        <v>0</v>
      </c>
      <c r="AR679" s="137">
        <f t="shared" si="1432" ref="AR679:AW679">ROUND(INDEX(MO_UPR_CUP,0,COLUMN())-AR636,6)</f>
        <v>0</v>
      </c>
      <c r="AS679" s="137">
        <f t="shared" si="1432"/>
        <v>0</v>
      </c>
      <c r="AT679" s="137">
        <f t="shared" si="1432"/>
        <v>0</v>
      </c>
      <c r="AU679" s="137">
        <f t="shared" si="1432"/>
        <v>0</v>
      </c>
      <c r="AV679" s="137">
        <f t="shared" si="1432"/>
        <v>0</v>
      </c>
      <c r="AW679" s="137">
        <f t="shared" si="1432"/>
        <v>0</v>
      </c>
      <c r="AX679" s="137">
        <f t="shared" si="1433" ref="AX679:BJ679">ROUND(INDEX(MO_UPR_CUP,0,COLUMN())-AX636,6)</f>
        <v>0</v>
      </c>
      <c r="AY679" s="137">
        <f t="shared" si="1433"/>
        <v>0</v>
      </c>
      <c r="AZ679" s="137">
        <f t="shared" si="1433"/>
        <v>0</v>
      </c>
      <c r="BA679" s="137">
        <f t="shared" si="1434" ref="BA679:BI679">ROUND(INDEX(MO_UPR_CUP,0,COLUMN())-BA636,6)</f>
        <v>0</v>
      </c>
      <c r="BB679" s="137">
        <f t="shared" si="1434"/>
        <v>0</v>
      </c>
      <c r="BC679" s="137">
        <f t="shared" si="1434"/>
        <v>0</v>
      </c>
      <c r="BD679" s="137">
        <f t="shared" si="1434"/>
        <v>0</v>
      </c>
      <c r="BE679" s="137">
        <f t="shared" si="1434"/>
        <v>0</v>
      </c>
      <c r="BF679" s="137">
        <f>ROUND(INDEX(MO_UPR_CUP,0,COLUMN())-BF636,6)</f>
        <v>0</v>
      </c>
      <c r="BG679" s="137">
        <f>ROUND(INDEX(MO_UPR_CUP,0,COLUMN())-BG636,6)</f>
        <v>0</v>
      </c>
      <c r="BH679" s="555">
        <f>ROUND(INDEX(MO_UPR_CUP,0,COLUMN())-BH636,6)</f>
        <v>0</v>
      </c>
      <c r="BI679" s="137">
        <f t="shared" si="1434"/>
        <v>0</v>
      </c>
      <c r="BJ679" s="137">
        <f t="shared" si="1433"/>
        <v>0</v>
      </c>
      <c r="BK679" s="137">
        <f t="shared" si="1435" ref="BK679:BR679">ROUND(INDEX(MO_UPR_CUP,0,COLUMN())-BK636,6)</f>
        <v>0</v>
      </c>
      <c r="BL679" s="137">
        <f t="shared" si="1435"/>
        <v>0</v>
      </c>
      <c r="BM679" s="137">
        <f t="shared" si="1435"/>
        <v>0</v>
      </c>
      <c r="BN679" s="137">
        <f t="shared" si="1435"/>
        <v>0</v>
      </c>
      <c r="BO679" s="137">
        <f t="shared" si="1435"/>
        <v>0</v>
      </c>
      <c r="BP679" s="137">
        <f t="shared" si="1435"/>
        <v>0</v>
      </c>
      <c r="BQ679" s="137">
        <f t="shared" si="1435"/>
        <v>0</v>
      </c>
      <c r="BR679" s="137">
        <f t="shared" si="1435"/>
        <v>0</v>
      </c>
      <c r="BS679" s="833"/>
    </row>
    <row r="680" spans="1:71" s="24" customFormat="1" ht="15">
      <c r="A680" s="833" t="s">
        <v>275</v>
      </c>
      <c r="B680" s="430"/>
      <c r="C680" s="137">
        <f t="shared" si="1436" ref="C680:AM680">ROUND(INDEX(MO_LR_GLR,0,COLUMN())-C646,6)</f>
        <v>0</v>
      </c>
      <c r="D680" s="137">
        <f t="shared" si="1436"/>
        <v>0</v>
      </c>
      <c r="E680" s="137">
        <f t="shared" si="1436"/>
        <v>0</v>
      </c>
      <c r="F680" s="137">
        <f t="shared" si="1436"/>
        <v>0</v>
      </c>
      <c r="G680" s="137">
        <f t="shared" si="1436"/>
        <v>0</v>
      </c>
      <c r="H680" s="137">
        <f t="shared" si="1436"/>
        <v>0</v>
      </c>
      <c r="I680" s="137">
        <f t="shared" si="1436"/>
        <v>0</v>
      </c>
      <c r="J680" s="137">
        <f t="shared" si="1436"/>
        <v>0</v>
      </c>
      <c r="K680" s="137">
        <f t="shared" si="1436"/>
        <v>0</v>
      </c>
      <c r="L680" s="137">
        <f t="shared" si="1436"/>
        <v>0</v>
      </c>
      <c r="M680" s="137">
        <f t="shared" si="1436"/>
        <v>0</v>
      </c>
      <c r="N680" s="137">
        <f t="shared" si="1436"/>
        <v>0</v>
      </c>
      <c r="O680" s="137">
        <f t="shared" si="1436"/>
        <v>0</v>
      </c>
      <c r="P680" s="137">
        <f t="shared" si="1436"/>
        <v>0</v>
      </c>
      <c r="Q680" s="137">
        <f t="shared" si="1436"/>
        <v>0</v>
      </c>
      <c r="R680" s="137">
        <f t="shared" si="1436"/>
        <v>0</v>
      </c>
      <c r="S680" s="137">
        <f t="shared" si="1436"/>
        <v>0</v>
      </c>
      <c r="T680" s="137">
        <f t="shared" si="1436"/>
        <v>0</v>
      </c>
      <c r="U680" s="137">
        <f t="shared" si="1436"/>
        <v>0</v>
      </c>
      <c r="V680" s="137">
        <f t="shared" si="1436"/>
        <v>0</v>
      </c>
      <c r="W680" s="137">
        <f t="shared" si="1436"/>
        <v>0</v>
      </c>
      <c r="X680" s="137">
        <f t="shared" si="1436"/>
        <v>0</v>
      </c>
      <c r="Y680" s="137">
        <f t="shared" si="1436"/>
        <v>0</v>
      </c>
      <c r="Z680" s="137">
        <f t="shared" si="1436"/>
        <v>0</v>
      </c>
      <c r="AA680" s="137">
        <f t="shared" si="1436"/>
        <v>0</v>
      </c>
      <c r="AB680" s="137">
        <f t="shared" si="1436"/>
        <v>0</v>
      </c>
      <c r="AC680" s="137">
        <f t="shared" si="1436"/>
        <v>0</v>
      </c>
      <c r="AD680" s="137">
        <f t="shared" si="1436"/>
        <v>0</v>
      </c>
      <c r="AE680" s="137">
        <f t="shared" si="1436"/>
        <v>0</v>
      </c>
      <c r="AF680" s="137">
        <f t="shared" si="1436"/>
        <v>0</v>
      </c>
      <c r="AG680" s="137">
        <f t="shared" si="1436"/>
        <v>0</v>
      </c>
      <c r="AH680" s="137">
        <f t="shared" si="1436"/>
        <v>0</v>
      </c>
      <c r="AI680" s="137">
        <f t="shared" si="1436"/>
        <v>0</v>
      </c>
      <c r="AJ680" s="137">
        <f t="shared" si="1436"/>
        <v>0</v>
      </c>
      <c r="AK680" s="137">
        <f t="shared" si="1436"/>
        <v>0</v>
      </c>
      <c r="AL680" s="137">
        <f t="shared" si="1436"/>
        <v>0</v>
      </c>
      <c r="AM680" s="137">
        <f t="shared" si="1436"/>
        <v>0</v>
      </c>
      <c r="AN680" s="137">
        <f>ROUND(INDEX(MO_LR_GLR,0,COLUMN())-AN646,6)</f>
        <v>0</v>
      </c>
      <c r="AO680" s="137">
        <f t="shared" si="1437" ref="AO680:AQ680">ROUND(INDEX(MO_LR_GLR,0,COLUMN())-AO646,6)</f>
        <v>0</v>
      </c>
      <c r="AP680" s="137">
        <f t="shared" si="1437"/>
        <v>0</v>
      </c>
      <c r="AQ680" s="137">
        <f t="shared" si="1437"/>
        <v>0</v>
      </c>
      <c r="AR680" s="137">
        <f t="shared" si="1438" ref="AR680:AW680">ROUND(INDEX(MO_LR_GLR,0,COLUMN())-AR646,6)</f>
        <v>0</v>
      </c>
      <c r="AS680" s="137">
        <f t="shared" si="1438"/>
        <v>0</v>
      </c>
      <c r="AT680" s="137">
        <f t="shared" si="1438"/>
        <v>0</v>
      </c>
      <c r="AU680" s="137">
        <f t="shared" si="1438"/>
        <v>0</v>
      </c>
      <c r="AV680" s="137">
        <f t="shared" si="1438"/>
        <v>0</v>
      </c>
      <c r="AW680" s="137">
        <f t="shared" si="1438"/>
        <v>0</v>
      </c>
      <c r="AX680" s="137">
        <f t="shared" si="1439" ref="AX680:BJ680">ROUND(INDEX(MO_LR_GLR,0,COLUMN())-AX646,6)</f>
        <v>0</v>
      </c>
      <c r="AY680" s="137">
        <f t="shared" si="1439"/>
        <v>0</v>
      </c>
      <c r="AZ680" s="137">
        <f t="shared" si="1439"/>
        <v>0</v>
      </c>
      <c r="BA680" s="137">
        <f t="shared" si="1440" ref="BA680:BI680">ROUND(INDEX(MO_LR_GLR,0,COLUMN())-BA646,6)</f>
        <v>0</v>
      </c>
      <c r="BB680" s="137">
        <f t="shared" si="1440"/>
        <v>0</v>
      </c>
      <c r="BC680" s="137">
        <f t="shared" si="1440"/>
        <v>0</v>
      </c>
      <c r="BD680" s="137">
        <f t="shared" si="1440"/>
        <v>0</v>
      </c>
      <c r="BE680" s="137">
        <f t="shared" si="1440"/>
        <v>0</v>
      </c>
      <c r="BF680" s="137">
        <f>ROUND(INDEX(MO_LR_GLR,0,COLUMN())-BF646,6)</f>
        <v>0</v>
      </c>
      <c r="BG680" s="137">
        <f>ROUND(INDEX(MO_LR_GLR,0,COLUMN())-BG646,6)</f>
        <v>0</v>
      </c>
      <c r="BH680" s="555">
        <f>ROUND(INDEX(MO_LR_GLR,0,COLUMN())-BH646,6)</f>
        <v>0</v>
      </c>
      <c r="BI680" s="137">
        <f t="shared" si="1440"/>
        <v>0</v>
      </c>
      <c r="BJ680" s="137">
        <f t="shared" si="1439"/>
        <v>0</v>
      </c>
      <c r="BK680" s="137">
        <f t="shared" si="1441" ref="BK680:BR680">ROUND(INDEX(MO_LR_GLR,0,COLUMN())-BK646,6)</f>
        <v>0</v>
      </c>
      <c r="BL680" s="137">
        <f t="shared" si="1441"/>
        <v>0</v>
      </c>
      <c r="BM680" s="137">
        <f t="shared" si="1441"/>
        <v>0</v>
      </c>
      <c r="BN680" s="137">
        <f t="shared" si="1441"/>
        <v>0</v>
      </c>
      <c r="BO680" s="137">
        <f t="shared" si="1441"/>
        <v>0</v>
      </c>
      <c r="BP680" s="137">
        <f t="shared" si="1441"/>
        <v>0</v>
      </c>
      <c r="BQ680" s="137">
        <f t="shared" si="1441"/>
        <v>0</v>
      </c>
      <c r="BR680" s="137">
        <f t="shared" si="1441"/>
        <v>0</v>
      </c>
      <c r="BS680" s="833"/>
    </row>
    <row r="681" spans="1:71" s="24" customFormat="1" ht="15">
      <c r="A681" s="833" t="s">
        <v>276</v>
      </c>
      <c r="B681" s="430"/>
      <c r="C681" s="137">
        <f t="shared" si="1442" ref="C681:AM681">ROUND(INDEX(MO_LR_RR,0,COLUMN())-C635,6)</f>
        <v>0</v>
      </c>
      <c r="D681" s="137">
        <f t="shared" si="1442"/>
        <v>0</v>
      </c>
      <c r="E681" s="137">
        <f t="shared" si="1442"/>
        <v>0</v>
      </c>
      <c r="F681" s="137">
        <f t="shared" si="1442"/>
        <v>0</v>
      </c>
      <c r="G681" s="137">
        <f t="shared" si="1442"/>
        <v>0</v>
      </c>
      <c r="H681" s="137">
        <f t="shared" si="1442"/>
        <v>0</v>
      </c>
      <c r="I681" s="137">
        <f t="shared" si="1442"/>
        <v>0</v>
      </c>
      <c r="J681" s="137">
        <f t="shared" si="1442"/>
        <v>0</v>
      </c>
      <c r="K681" s="137">
        <f t="shared" si="1442"/>
        <v>0</v>
      </c>
      <c r="L681" s="137">
        <f t="shared" si="1442"/>
        <v>0</v>
      </c>
      <c r="M681" s="137">
        <f t="shared" si="1442"/>
        <v>0</v>
      </c>
      <c r="N681" s="137">
        <f t="shared" si="1442"/>
        <v>0</v>
      </c>
      <c r="O681" s="137">
        <f t="shared" si="1442"/>
        <v>0</v>
      </c>
      <c r="P681" s="137">
        <f t="shared" si="1442"/>
        <v>0</v>
      </c>
      <c r="Q681" s="137">
        <f t="shared" si="1442"/>
        <v>0</v>
      </c>
      <c r="R681" s="137">
        <f t="shared" si="1442"/>
        <v>0</v>
      </c>
      <c r="S681" s="137">
        <f t="shared" si="1442"/>
        <v>0</v>
      </c>
      <c r="T681" s="137">
        <f t="shared" si="1442"/>
        <v>0</v>
      </c>
      <c r="U681" s="137">
        <f t="shared" si="1442"/>
        <v>0</v>
      </c>
      <c r="V681" s="137">
        <f t="shared" si="1442"/>
        <v>0</v>
      </c>
      <c r="W681" s="137">
        <f t="shared" si="1442"/>
        <v>0</v>
      </c>
      <c r="X681" s="137">
        <f t="shared" si="1442"/>
        <v>0</v>
      </c>
      <c r="Y681" s="137">
        <f t="shared" si="1442"/>
        <v>0</v>
      </c>
      <c r="Z681" s="137">
        <f t="shared" si="1442"/>
        <v>0</v>
      </c>
      <c r="AA681" s="137">
        <f t="shared" si="1442"/>
        <v>0</v>
      </c>
      <c r="AB681" s="137">
        <f t="shared" si="1442"/>
        <v>0</v>
      </c>
      <c r="AC681" s="137">
        <f t="shared" si="1442"/>
        <v>0</v>
      </c>
      <c r="AD681" s="137">
        <f t="shared" si="1442"/>
        <v>0</v>
      </c>
      <c r="AE681" s="137">
        <f t="shared" si="1442"/>
        <v>0</v>
      </c>
      <c r="AF681" s="137">
        <f t="shared" si="1442"/>
        <v>0</v>
      </c>
      <c r="AG681" s="137">
        <f t="shared" si="1442"/>
        <v>0</v>
      </c>
      <c r="AH681" s="137">
        <f t="shared" si="1442"/>
        <v>0</v>
      </c>
      <c r="AI681" s="137">
        <f t="shared" si="1442"/>
        <v>0</v>
      </c>
      <c r="AJ681" s="137">
        <f t="shared" si="1442"/>
        <v>0</v>
      </c>
      <c r="AK681" s="137">
        <f t="shared" si="1442"/>
        <v>0</v>
      </c>
      <c r="AL681" s="137">
        <f t="shared" si="1442"/>
        <v>0</v>
      </c>
      <c r="AM681" s="137">
        <f t="shared" si="1442"/>
        <v>0</v>
      </c>
      <c r="AN681" s="137">
        <f>ROUND(INDEX(MO_LR_RR,0,COLUMN())-AN635,6)</f>
        <v>0</v>
      </c>
      <c r="AO681" s="137">
        <f t="shared" si="1443" ref="AO681:AQ681">ROUND(INDEX(MO_LR_RR,0,COLUMN())-AO635,6)</f>
        <v>0</v>
      </c>
      <c r="AP681" s="137">
        <f t="shared" si="1443"/>
        <v>0</v>
      </c>
      <c r="AQ681" s="137">
        <f t="shared" si="1443"/>
        <v>0</v>
      </c>
      <c r="AR681" s="137">
        <f t="shared" si="1444" ref="AR681:AW681">ROUND(INDEX(MO_LR_RR,0,COLUMN())-AR635,6)</f>
        <v>0</v>
      </c>
      <c r="AS681" s="137">
        <f t="shared" si="1444"/>
        <v>0</v>
      </c>
      <c r="AT681" s="137">
        <f t="shared" si="1444"/>
        <v>0</v>
      </c>
      <c r="AU681" s="137">
        <f t="shared" si="1444"/>
        <v>0</v>
      </c>
      <c r="AV681" s="137">
        <f t="shared" si="1444"/>
        <v>0</v>
      </c>
      <c r="AW681" s="137">
        <f t="shared" si="1444"/>
        <v>0</v>
      </c>
      <c r="AX681" s="137">
        <f t="shared" si="1445" ref="AX681:BJ681">ROUND(INDEX(MO_LR_RR,0,COLUMN())-AX635,6)</f>
        <v>0</v>
      </c>
      <c r="AY681" s="137">
        <f t="shared" si="1445"/>
        <v>0</v>
      </c>
      <c r="AZ681" s="137">
        <f t="shared" si="1445"/>
        <v>0</v>
      </c>
      <c r="BA681" s="137">
        <f t="shared" si="1446" ref="BA681:BI681">ROUND(INDEX(MO_LR_RR,0,COLUMN())-BA635,6)</f>
        <v>0</v>
      </c>
      <c r="BB681" s="137">
        <f t="shared" si="1446"/>
        <v>0</v>
      </c>
      <c r="BC681" s="137">
        <f t="shared" si="1446"/>
        <v>0</v>
      </c>
      <c r="BD681" s="137">
        <f t="shared" si="1446"/>
        <v>0</v>
      </c>
      <c r="BE681" s="137">
        <f t="shared" si="1446"/>
        <v>0</v>
      </c>
      <c r="BF681" s="137">
        <f>ROUND(INDEX(MO_LR_RR,0,COLUMN())-BF635,6)</f>
        <v>0</v>
      </c>
      <c r="BG681" s="137">
        <f>ROUND(INDEX(MO_LR_RR,0,COLUMN())-BG635,6)</f>
        <v>0</v>
      </c>
      <c r="BH681" s="555">
        <f>ROUND(INDEX(MO_LR_RR,0,COLUMN())-BH635,6)</f>
        <v>0</v>
      </c>
      <c r="BI681" s="137">
        <f t="shared" si="1446"/>
        <v>0</v>
      </c>
      <c r="BJ681" s="137">
        <f t="shared" si="1445"/>
        <v>0</v>
      </c>
      <c r="BK681" s="137">
        <f t="shared" si="1447" ref="BK681:BR681">ROUND(INDEX(MO_LR_RR,0,COLUMN())-BK635,6)</f>
        <v>0</v>
      </c>
      <c r="BL681" s="137">
        <f t="shared" si="1447"/>
        <v>0</v>
      </c>
      <c r="BM681" s="137">
        <f t="shared" si="1447"/>
        <v>0</v>
      </c>
      <c r="BN681" s="137">
        <f t="shared" si="1447"/>
        <v>0</v>
      </c>
      <c r="BO681" s="137">
        <f t="shared" si="1447"/>
        <v>0</v>
      </c>
      <c r="BP681" s="137">
        <f t="shared" si="1447"/>
        <v>0</v>
      </c>
      <c r="BQ681" s="137">
        <f t="shared" si="1447"/>
        <v>0</v>
      </c>
      <c r="BR681" s="137">
        <f t="shared" si="1447"/>
        <v>0</v>
      </c>
      <c r="BS681" s="833"/>
    </row>
    <row r="682" spans="1:71" s="24" customFormat="1" ht="15">
      <c r="A682" s="833" t="s">
        <v>277</v>
      </c>
      <c r="B682" s="430"/>
      <c r="C682" s="137">
        <f t="shared" si="1448" ref="C682:AQ682">ROUND(INDEX(MO_BSS_NTR,0,COLUMN())-INDEX(MO_UPR_NUPR,0,COLUMN())-INDEX(MO_LR_NLR,0,COLUMN()),6)</f>
        <v>0</v>
      </c>
      <c r="D682" s="137">
        <f t="shared" si="1448"/>
        <v>0</v>
      </c>
      <c r="E682" s="137">
        <f t="shared" si="1448"/>
        <v>0</v>
      </c>
      <c r="F682" s="137">
        <f t="shared" si="1448"/>
        <v>0</v>
      </c>
      <c r="G682" s="137">
        <f t="shared" si="1448"/>
        <v>0</v>
      </c>
      <c r="H682" s="137">
        <f t="shared" si="1448"/>
        <v>0</v>
      </c>
      <c r="I682" s="137">
        <f t="shared" si="1448"/>
        <v>0</v>
      </c>
      <c r="J682" s="137">
        <f t="shared" si="1448"/>
        <v>0</v>
      </c>
      <c r="K682" s="137">
        <f t="shared" si="1448"/>
        <v>0</v>
      </c>
      <c r="L682" s="137">
        <f t="shared" si="1448"/>
        <v>0</v>
      </c>
      <c r="M682" s="137">
        <f t="shared" si="1448"/>
        <v>0</v>
      </c>
      <c r="N682" s="137">
        <f t="shared" si="1448"/>
        <v>0</v>
      </c>
      <c r="O682" s="137">
        <f t="shared" si="1448"/>
        <v>0</v>
      </c>
      <c r="P682" s="137">
        <f t="shared" si="1448"/>
        <v>0</v>
      </c>
      <c r="Q682" s="137">
        <f t="shared" si="1448"/>
        <v>0</v>
      </c>
      <c r="R682" s="137">
        <f t="shared" si="1448"/>
        <v>0</v>
      </c>
      <c r="S682" s="137">
        <f t="shared" si="1448"/>
        <v>0</v>
      </c>
      <c r="T682" s="137">
        <f t="shared" si="1448"/>
        <v>0</v>
      </c>
      <c r="U682" s="137">
        <f t="shared" si="1448"/>
        <v>0</v>
      </c>
      <c r="V682" s="137">
        <f t="shared" si="1448"/>
        <v>0</v>
      </c>
      <c r="W682" s="137">
        <f t="shared" si="1448"/>
        <v>0</v>
      </c>
      <c r="X682" s="137">
        <f t="shared" si="1448"/>
        <v>0</v>
      </c>
      <c r="Y682" s="137">
        <f t="shared" si="1448"/>
        <v>0</v>
      </c>
      <c r="Z682" s="137">
        <f t="shared" si="1448"/>
        <v>0</v>
      </c>
      <c r="AA682" s="137">
        <f t="shared" si="1448"/>
        <v>0</v>
      </c>
      <c r="AB682" s="137">
        <f t="shared" si="1448"/>
        <v>0</v>
      </c>
      <c r="AC682" s="137">
        <f t="shared" si="1448"/>
        <v>0</v>
      </c>
      <c r="AD682" s="137">
        <f t="shared" si="1448"/>
        <v>0</v>
      </c>
      <c r="AE682" s="137">
        <f t="shared" si="1448"/>
        <v>0</v>
      </c>
      <c r="AF682" s="137">
        <f t="shared" si="1448"/>
        <v>0</v>
      </c>
      <c r="AG682" s="137">
        <f t="shared" si="1448"/>
        <v>0</v>
      </c>
      <c r="AH682" s="137">
        <f t="shared" si="1448"/>
        <v>0</v>
      </c>
      <c r="AI682" s="137">
        <f t="shared" si="1448"/>
        <v>0</v>
      </c>
      <c r="AJ682" s="137">
        <f t="shared" si="1448"/>
        <v>0</v>
      </c>
      <c r="AK682" s="137">
        <f t="shared" si="1448"/>
        <v>0</v>
      </c>
      <c r="AL682" s="137">
        <f t="shared" si="1448"/>
        <v>0</v>
      </c>
      <c r="AM682" s="137">
        <f t="shared" si="1448"/>
        <v>0</v>
      </c>
      <c r="AN682" s="137">
        <f>ROUND(INDEX(MO_BSS_NTR,0,COLUMN())-INDEX(MO_UPR_NUPR,0,COLUMN())-INDEX(MO_LR_NLR,0,COLUMN()),6)</f>
        <v>0</v>
      </c>
      <c r="AO682" s="137">
        <f t="shared" si="1448"/>
        <v>0</v>
      </c>
      <c r="AP682" s="137">
        <f t="shared" si="1448"/>
        <v>0</v>
      </c>
      <c r="AQ682" s="137">
        <f t="shared" si="1448"/>
        <v>0</v>
      </c>
      <c r="AR682" s="137">
        <f t="shared" si="1449" ref="AR682:AW682">ROUND(INDEX(MO_BSS_NTR,0,COLUMN())-INDEX(MO_UPR_NUPR,0,COLUMN())-INDEX(MO_LR_NLR,0,COLUMN()),6)</f>
        <v>0</v>
      </c>
      <c r="AS682" s="137">
        <f t="shared" si="1449"/>
        <v>0</v>
      </c>
      <c r="AT682" s="137">
        <f t="shared" si="1449"/>
        <v>0</v>
      </c>
      <c r="AU682" s="137">
        <f t="shared" si="1449"/>
        <v>0</v>
      </c>
      <c r="AV682" s="137">
        <f t="shared" si="1449"/>
        <v>0</v>
      </c>
      <c r="AW682" s="137">
        <f t="shared" si="1449"/>
        <v>0</v>
      </c>
      <c r="AX682" s="137">
        <f t="shared" si="1450" ref="AX682:BJ682">ROUND(INDEX(MO_BSS_NTR,0,COLUMN())-INDEX(MO_UPR_NUPR,0,COLUMN())-INDEX(MO_LR_NLR,0,COLUMN()),6)</f>
        <v>0</v>
      </c>
      <c r="AY682" s="137">
        <f t="shared" si="1450"/>
        <v>0</v>
      </c>
      <c r="AZ682" s="137">
        <f t="shared" si="1450"/>
        <v>0</v>
      </c>
      <c r="BA682" s="137">
        <f t="shared" si="1451" ref="BA682:BI682">ROUND(INDEX(MO_BSS_NTR,0,COLUMN())-INDEX(MO_UPR_NUPR,0,COLUMN())-INDEX(MO_LR_NLR,0,COLUMN()),6)</f>
        <v>0</v>
      </c>
      <c r="BB682" s="137">
        <f t="shared" si="1451"/>
        <v>0</v>
      </c>
      <c r="BC682" s="137">
        <f t="shared" si="1451"/>
        <v>0</v>
      </c>
      <c r="BD682" s="137">
        <f t="shared" si="1451"/>
        <v>0</v>
      </c>
      <c r="BE682" s="137">
        <f t="shared" si="1451"/>
        <v>0</v>
      </c>
      <c r="BF682" s="137">
        <f>ROUND(INDEX(MO_BSS_NTR,0,COLUMN())-INDEX(MO_UPR_NUPR,0,COLUMN())-INDEX(MO_LR_NLR,0,COLUMN()),6)</f>
        <v>0</v>
      </c>
      <c r="BG682" s="137">
        <f>ROUND(INDEX(MO_BSS_NTR,0,COLUMN())-INDEX(MO_UPR_NUPR,0,COLUMN())-INDEX(MO_LR_NLR,0,COLUMN()),6)</f>
        <v>0</v>
      </c>
      <c r="BH682" s="555">
        <f>ROUND(INDEX(MO_BSS_NTR,0,COLUMN())-INDEX(MO_UPR_NUPR,0,COLUMN())-INDEX(MO_LR_NLR,0,COLUMN()),6)</f>
        <v>0</v>
      </c>
      <c r="BI682" s="137">
        <f t="shared" si="1451"/>
        <v>0</v>
      </c>
      <c r="BJ682" s="137">
        <f t="shared" si="1450"/>
        <v>0</v>
      </c>
      <c r="BK682" s="137">
        <f t="shared" si="1452" ref="BK682:BR682">ROUND(INDEX(MO_BSS_NTR,0,COLUMN())-INDEX(MO_UPR_NUPR,0,COLUMN())-INDEX(MO_LR_NLR,0,COLUMN()),6)</f>
        <v>0</v>
      </c>
      <c r="BL682" s="137">
        <f t="shared" si="1452"/>
        <v>0</v>
      </c>
      <c r="BM682" s="137">
        <f t="shared" si="1452"/>
        <v>0</v>
      </c>
      <c r="BN682" s="137">
        <f t="shared" si="1452"/>
        <v>0</v>
      </c>
      <c r="BO682" s="137">
        <f t="shared" si="1452"/>
        <v>0</v>
      </c>
      <c r="BP682" s="137">
        <f t="shared" si="1452"/>
        <v>0</v>
      </c>
      <c r="BQ682" s="137">
        <f t="shared" si="1452"/>
        <v>0</v>
      </c>
      <c r="BR682" s="137">
        <f t="shared" si="1452"/>
        <v>0</v>
      </c>
      <c r="BS682" s="833"/>
    </row>
    <row r="683" spans="1:71" s="24" customFormat="1" ht="15">
      <c r="A683" s="833" t="s">
        <v>278</v>
      </c>
      <c r="B683" s="430"/>
      <c r="C683" s="137">
        <f t="shared" si="1453" ref="C683:AM683">IF(C632&lt;0,"CHECK",0)</f>
        <v>0</v>
      </c>
      <c r="D683" s="137">
        <f t="shared" si="1453"/>
        <v>0</v>
      </c>
      <c r="E683" s="137">
        <f t="shared" si="1453"/>
        <v>0</v>
      </c>
      <c r="F683" s="137">
        <f t="shared" si="1453"/>
        <v>0</v>
      </c>
      <c r="G683" s="137">
        <f t="shared" si="1453"/>
        <v>0</v>
      </c>
      <c r="H683" s="137">
        <f t="shared" si="1453"/>
        <v>0</v>
      </c>
      <c r="I683" s="137">
        <f t="shared" si="1453"/>
        <v>0</v>
      </c>
      <c r="J683" s="137">
        <f t="shared" si="1453"/>
        <v>0</v>
      </c>
      <c r="K683" s="137">
        <f t="shared" si="1453"/>
        <v>0</v>
      </c>
      <c r="L683" s="137">
        <f t="shared" si="1453"/>
        <v>0</v>
      </c>
      <c r="M683" s="137">
        <f t="shared" si="1453"/>
        <v>0</v>
      </c>
      <c r="N683" s="137">
        <f t="shared" si="1453"/>
        <v>0</v>
      </c>
      <c r="O683" s="137">
        <f t="shared" si="1453"/>
        <v>0</v>
      </c>
      <c r="P683" s="137">
        <f t="shared" si="1453"/>
        <v>0</v>
      </c>
      <c r="Q683" s="137">
        <f t="shared" si="1453"/>
        <v>0</v>
      </c>
      <c r="R683" s="137">
        <f t="shared" si="1453"/>
        <v>0</v>
      </c>
      <c r="S683" s="137">
        <f t="shared" si="1453"/>
        <v>0</v>
      </c>
      <c r="T683" s="137">
        <f t="shared" si="1453"/>
        <v>0</v>
      </c>
      <c r="U683" s="137">
        <f t="shared" si="1453"/>
        <v>0</v>
      </c>
      <c r="V683" s="137">
        <f t="shared" si="1453"/>
        <v>0</v>
      </c>
      <c r="W683" s="137">
        <f t="shared" si="1453"/>
        <v>0</v>
      </c>
      <c r="X683" s="137">
        <f t="shared" si="1453"/>
        <v>0</v>
      </c>
      <c r="Y683" s="137">
        <f t="shared" si="1453"/>
        <v>0</v>
      </c>
      <c r="Z683" s="137">
        <f t="shared" si="1453"/>
        <v>0</v>
      </c>
      <c r="AA683" s="137">
        <f t="shared" si="1453"/>
        <v>0</v>
      </c>
      <c r="AB683" s="137">
        <f t="shared" si="1453"/>
        <v>0</v>
      </c>
      <c r="AC683" s="137">
        <f t="shared" si="1453"/>
        <v>0</v>
      </c>
      <c r="AD683" s="137">
        <f t="shared" si="1453"/>
        <v>0</v>
      </c>
      <c r="AE683" s="137">
        <f t="shared" si="1453"/>
        <v>0</v>
      </c>
      <c r="AF683" s="137">
        <f t="shared" si="1453"/>
        <v>0</v>
      </c>
      <c r="AG683" s="137">
        <f t="shared" si="1453"/>
        <v>0</v>
      </c>
      <c r="AH683" s="137">
        <f t="shared" si="1453"/>
        <v>0</v>
      </c>
      <c r="AI683" s="137">
        <f t="shared" si="1453"/>
        <v>0</v>
      </c>
      <c r="AJ683" s="137">
        <f t="shared" si="1453"/>
        <v>0</v>
      </c>
      <c r="AK683" s="137">
        <f t="shared" si="1453"/>
        <v>0</v>
      </c>
      <c r="AL683" s="137">
        <f t="shared" si="1453"/>
        <v>0</v>
      </c>
      <c r="AM683" s="137">
        <f t="shared" si="1453"/>
        <v>0</v>
      </c>
      <c r="AN683" s="137">
        <f>IF(AN632&lt;0,"CHECK",0)</f>
        <v>0</v>
      </c>
      <c r="AO683" s="137">
        <f t="shared" si="1454" ref="AO683:AQ683">IF(AO632&lt;0,"CHECK",0)</f>
        <v>0</v>
      </c>
      <c r="AP683" s="137">
        <f t="shared" si="1454"/>
        <v>0</v>
      </c>
      <c r="AQ683" s="137">
        <f t="shared" si="1454"/>
        <v>0</v>
      </c>
      <c r="AR683" s="137">
        <f t="shared" si="1455" ref="AR683:AW683">IF(AR632&lt;0,"CHECK",0)</f>
        <v>0</v>
      </c>
      <c r="AS683" s="137">
        <f t="shared" si="1455"/>
        <v>0</v>
      </c>
      <c r="AT683" s="137">
        <f t="shared" si="1455"/>
        <v>0</v>
      </c>
      <c r="AU683" s="137">
        <f t="shared" si="1455"/>
        <v>0</v>
      </c>
      <c r="AV683" s="137">
        <f t="shared" si="1455"/>
        <v>0</v>
      </c>
      <c r="AW683" s="137">
        <f t="shared" si="1455"/>
        <v>0</v>
      </c>
      <c r="AX683" s="137">
        <f t="shared" si="1456" ref="AX683:BJ683">IF(AX632&lt;0,"CHECK",0)</f>
        <v>0</v>
      </c>
      <c r="AY683" s="137">
        <f t="shared" si="1456"/>
        <v>0</v>
      </c>
      <c r="AZ683" s="137">
        <f t="shared" si="1456"/>
        <v>0</v>
      </c>
      <c r="BA683" s="137">
        <f t="shared" si="1457" ref="BA683:BI683">IF(BA632&lt;0,"CHECK",0)</f>
        <v>0</v>
      </c>
      <c r="BB683" s="137">
        <f t="shared" si="1457"/>
        <v>0</v>
      </c>
      <c r="BC683" s="137">
        <f t="shared" si="1457"/>
        <v>0</v>
      </c>
      <c r="BD683" s="137">
        <f t="shared" si="1457"/>
        <v>0</v>
      </c>
      <c r="BE683" s="137">
        <f t="shared" si="1457"/>
        <v>0</v>
      </c>
      <c r="BF683" s="137">
        <f>IF(BF632&lt;0,"CHECK",0)</f>
        <v>0</v>
      </c>
      <c r="BG683" s="137">
        <f>IF(BG632&lt;0,"CHECK",0)</f>
        <v>0</v>
      </c>
      <c r="BH683" s="555">
        <f>IF(BH632&lt;0,"CHECK",0)</f>
        <v>0</v>
      </c>
      <c r="BI683" s="137">
        <f t="shared" ca="1" si="1457"/>
        <v>0</v>
      </c>
      <c r="BJ683" s="137">
        <f t="shared" ca="1" si="1456"/>
        <v>0</v>
      </c>
      <c r="BK683" s="137">
        <f ca="1" t="shared" si="1458" ref="BK683:BR683">IF(BK632&lt;0,"CHECK",0)</f>
        <v>0</v>
      </c>
      <c r="BL683" s="137">
        <f t="shared" ca="1" si="1458"/>
        <v>0</v>
      </c>
      <c r="BM683" s="137">
        <f t="shared" ca="1" si="1458"/>
        <v>0</v>
      </c>
      <c r="BN683" s="137">
        <f t="shared" ca="1" si="1458"/>
        <v>0</v>
      </c>
      <c r="BO683" s="137">
        <f t="shared" ca="1" si="1458"/>
        <v>0</v>
      </c>
      <c r="BP683" s="137">
        <f t="shared" ca="1" si="1458"/>
        <v>0</v>
      </c>
      <c r="BQ683" s="137">
        <f t="shared" ca="1" si="1458"/>
        <v>0</v>
      </c>
      <c r="BR683" s="137">
        <f t="shared" ca="1" si="1458"/>
        <v>0</v>
      </c>
      <c r="BS683" s="833"/>
    </row>
    <row r="684" spans="1:71" s="24" customFormat="1" ht="15">
      <c r="A684" s="833" t="s">
        <v>279</v>
      </c>
      <c r="B684" s="430"/>
      <c r="C684" s="137">
        <f>IF(ISBLANK(INDEX(MO_IS_FirstRow,0,COLUMN())),0,IF(OR(C614=B614,C614=D614),"CHECK",0))</f>
        <v>0</v>
      </c>
      <c r="D684" s="137">
        <f>IF(ISBLANK(INDEX(MO_IS_FirstRow,0,COLUMN())),0,IF(OR(D614=C614,D614=E614),"CHECK",0))</f>
        <v>0</v>
      </c>
      <c r="E684" s="137">
        <f>IF(ISBLANK(INDEX(MO_IS_FirstRow,0,COLUMN())),0,IF(OR(E614=D614,E614=F614),"CHECK",0))</f>
        <v>0</v>
      </c>
      <c r="F684" s="137">
        <f>IF(ISBLANK(INDEX(MO_IS_FirstRow,0,COLUMN())),0,IF(OR(F614=E614,F614=G614),"CHECK",0))</f>
        <v>0</v>
      </c>
      <c r="G684" s="137">
        <f>IF(ISBLANK(INDEX(MO_IS_FirstRow,0,COLUMN())),0,IF(OR(G614=F614,G614=H614),"CHECK",0))</f>
        <v>0</v>
      </c>
      <c r="H684" s="137">
        <f>IF(ISBLANK(INDEX(MO_IS_FirstRow,0,COLUMN())),0,IF(OR(H614=C614,H614=I614,H614=F614),"CHECK",0))</f>
        <v>0</v>
      </c>
      <c r="I684" s="137">
        <f>IF(ISBLANK(INDEX(MO_IS_FirstRow,0,COLUMN())),0,IF(OR(I614=D614,I614=J614,I614=H614),"CHECK",0))</f>
        <v>0</v>
      </c>
      <c r="J684" s="137">
        <f>IF(ISBLANK(INDEX(MO_IS_FirstRow,0,COLUMN())),0,IF(OR(J614=E614,J614=K614,J614=I614),"CHECK",0))</f>
        <v>0</v>
      </c>
      <c r="K684" s="137">
        <f>IF(ISBLANK(INDEX(MO_IS_FirstRow,0,COLUMN())),0,IF(OR(K614=F614,K614=L614,K614=J614),"CHECK",0))</f>
        <v>0</v>
      </c>
      <c r="L684" s="137">
        <f>IF(ISBLANK(INDEX(MO_IS_FirstRow,0,COLUMN())),0,IF(L614=G614,"CHECK",0))</f>
        <v>0</v>
      </c>
      <c r="M684" s="137">
        <f>IF(ISBLANK(INDEX(MO_IS_FirstRow,0,COLUMN())),0,IF(OR(M614=H614,M614=N614,M614=K614),"CHECK",0))</f>
        <v>0</v>
      </c>
      <c r="N684" s="137">
        <f>IF(ISBLANK(INDEX(MO_IS_FirstRow,0,COLUMN())),0,IF(OR(N614=I614,N614=O614,N614=M614),"CHECK",0))</f>
        <v>0</v>
      </c>
      <c r="O684" s="137">
        <f>IF(ISBLANK(INDEX(MO_IS_FirstRow,0,COLUMN())),0,IF(OR(O614=J614,O614=P614,O614=N614),"CHECK",0))</f>
        <v>0</v>
      </c>
      <c r="P684" s="137">
        <f>IF(ISBLANK(INDEX(MO_IS_FirstRow,0,COLUMN())),0,IF(OR(P614=K614,P614=Q614,P614=O614),"CHECK",0))</f>
        <v>0</v>
      </c>
      <c r="Q684" s="137">
        <f>IF(ISBLANK(INDEX(MO_IS_FirstRow,0,COLUMN())),0,IF(Q614=L614,"CHECK",0))</f>
        <v>0</v>
      </c>
      <c r="R684" s="137">
        <f>IF(ISBLANK(INDEX(MO_IS_FirstRow,0,COLUMN())),0,IF(OR(R614=M614,R614=S614,R614=P614),"CHECK",0))</f>
        <v>0</v>
      </c>
      <c r="S684" s="137">
        <f>IF(ISBLANK(INDEX(MO_IS_FirstRow,0,COLUMN())),0,IF(OR(S614=N614,S614=T614,S614=R614),"CHECK",0))</f>
        <v>0</v>
      </c>
      <c r="T684" s="137">
        <f>IF(ISBLANK(INDEX(MO_IS_FirstRow,0,COLUMN())),0,IF(OR(T614=O614,T614=U614,T614=S614),"CHECK",0))</f>
        <v>0</v>
      </c>
      <c r="U684" s="137">
        <f>IF(ISBLANK(INDEX(MO_IS_FirstRow,0,COLUMN())),0,IF(OR(U614=P614,U614=V614,U614=T614),"CHECK",0))</f>
        <v>0</v>
      </c>
      <c r="V684" s="137">
        <f>IF(ISBLANK(INDEX(MO_IS_FirstRow,0,COLUMN())),0,IF(V614=Q614,"CHECK",0))</f>
        <v>0</v>
      </c>
      <c r="W684" s="137">
        <f>IF(ISBLANK(INDEX(MO_IS_FirstRow,0,COLUMN())),0,IF(OR(W614=R614,W614=X614,W614=U614),"CHECK",0))</f>
        <v>0</v>
      </c>
      <c r="X684" s="137">
        <f>IF(ISBLANK(INDEX(MO_IS_FirstRow,0,COLUMN())),0,IF(OR(X614=S614,X614=Y614,X614=W614),"CHECK",0))</f>
        <v>0</v>
      </c>
      <c r="Y684" s="137">
        <f>IF(ISBLANK(INDEX(MO_IS_FirstRow,0,COLUMN())),0,IF(OR(Y614=T614,Y614=Z614,Y614=X614),"CHECK",0))</f>
        <v>0</v>
      </c>
      <c r="Z684" s="137">
        <f>IF(ISBLANK(INDEX(MO_IS_FirstRow,0,COLUMN())),0,IF(OR(Z614=U614,Z614=AA614,Z614=Y614),"CHECK",0))</f>
        <v>0</v>
      </c>
      <c r="AA684" s="137">
        <f>IF(ISBLANK(INDEX(MO_IS_FirstRow,0,COLUMN())),0,IF(AA614=V614,"CHECK",0))</f>
        <v>0</v>
      </c>
      <c r="AB684" s="137">
        <f>IF(ISBLANK(INDEX(MO_IS_FirstRow,0,COLUMN())),0,IF(OR(AB614=W614,AB614=AC614,AB614=Z614),"CHECK",0))</f>
        <v>0</v>
      </c>
      <c r="AC684" s="137">
        <f>IF(ISBLANK(INDEX(MO_IS_FirstRow,0,COLUMN())),0,IF(OR(AC614=X614,AC614=AD614,AC614=AB614),"CHECK",0))</f>
        <v>0</v>
      </c>
      <c r="AD684" s="137">
        <f>IF(ISBLANK(INDEX(MO_IS_FirstRow,0,COLUMN())),0,IF(OR(AD614=Y614,AD614=AE614,AD614=AC614),"CHECK",0))</f>
        <v>0</v>
      </c>
      <c r="AE684" s="137">
        <f>IF(ISBLANK(INDEX(MO_IS_FirstRow,0,COLUMN())),0,IF(OR(AE614=Z614,AE614=AF614,AE614=AD614),"CHECK",0))</f>
        <v>0</v>
      </c>
      <c r="AF684" s="137">
        <f>IF(ISBLANK(INDEX(MO_IS_FirstRow,0,COLUMN())),0,IF(AF614=AA614,"CHECK",0))</f>
        <v>0</v>
      </c>
      <c r="AG684" s="137">
        <f>IF(ISBLANK(INDEX(MO_IS_FirstRow,0,COLUMN())),0,IF(OR(AG614=AB614,AG614=AH614,AG614=AE614),"CHECK",0))</f>
        <v>0</v>
      </c>
      <c r="AH684" s="137">
        <f>IF(ISBLANK(INDEX(MO_IS_FirstRow,0,COLUMN())),0,IF(OR(AH614=AC614,AH614=AI614,AH614=AG614),"CHECK",0))</f>
        <v>0</v>
      </c>
      <c r="AI684" s="137">
        <f>IF(ISBLANK(INDEX(MO_IS_FirstRow,0,COLUMN())),0,IF(OR(AI614=AD614,AI614=AJ614,AI614=AH614),"CHECK",0))</f>
        <v>0</v>
      </c>
      <c r="AJ684" s="137">
        <f>IF(ISBLANK(INDEX(MO_IS_FirstRow,0,COLUMN())),0,IF(OR(AJ614=AE614,AJ614=AK614,AJ614=AI614),"CHECK",0))</f>
        <v>0</v>
      </c>
      <c r="AK684" s="137">
        <f>IF(ISBLANK(INDEX(MO_IS_FirstRow,0,COLUMN())),0,IF(AK614=AF614,"CHECK",0))</f>
        <v>0</v>
      </c>
      <c r="AL684" s="137">
        <f>IF(ISBLANK(INDEX(MO_IS_FirstRow,0,COLUMN())),0,IF(OR(AL614=AG614,AL614=AM614,AL614=AJ614),"CHECK",0))</f>
        <v>0</v>
      </c>
      <c r="AM684" s="137">
        <f>IF(ISBLANK(INDEX(MO_IS_FirstRow,0,COLUMN())),0,IF(OR(AM614=AH614,AM614=AN614,AM614=AL614),"CHECK",0))</f>
        <v>0</v>
      </c>
      <c r="AN684" s="137">
        <f>IF(ISBLANK(INDEX(MO_IS_FirstRow,0,COLUMN())),0,IF(OR(AN614=AI614,AN614=AO614,AN614=AM614),"CHECK",0))</f>
        <v>0</v>
      </c>
      <c r="AO684" s="137">
        <f>IF(ISBLANK(INDEX(MO_IS_FirstRow,0,COLUMN())),0,IF(OR(AO614=AJ614,AO614=AP614,AO614=AN614),"CHECK",0))</f>
        <v>0</v>
      </c>
      <c r="AP684" s="137">
        <f>IF(ISBLANK(INDEX(MO_IS_FirstRow,0,COLUMN())),0,IF(AP614=AK614,"CHECK",0))</f>
        <v>0</v>
      </c>
      <c r="AQ684" s="137">
        <f>IF(ISBLANK(INDEX(MO_IS_FirstRow,0,COLUMN())),0,IF(OR(AQ614=AL614,AQ614=AR614,AQ614=AO614),"CHECK",0))</f>
        <v>0</v>
      </c>
      <c r="AR684" s="137">
        <f>IF(ISBLANK(INDEX(MO_IS_FirstRow,0,COLUMN())),0,IF(OR(AR614=AM614,AR614=AS614,AR614=AQ614),"CHECK",0))</f>
        <v>0</v>
      </c>
      <c r="AS684" s="137">
        <f>IF(ISBLANK(INDEX(MO_IS_FirstRow,0,COLUMN())),0,IF(OR(AS614=AN614,AS614=AT614,AS614=AR614),"CHECK",0))</f>
        <v>0</v>
      </c>
      <c r="AT684" s="137">
        <f>IF(ISBLANK(INDEX(MO_IS_FirstRow,0,COLUMN())),0,IF(OR(AT614=AO614,AT614=AU614,AT614=AS614),"CHECK",0))</f>
        <v>0</v>
      </c>
      <c r="AU684" s="137">
        <f>IF(ISBLANK(INDEX(MO_IS_FirstRow,0,COLUMN())),0,IF(AU614=AP614,"CHECK",0))</f>
        <v>0</v>
      </c>
      <c r="AV684" s="137">
        <f>IF(ISBLANK(INDEX(MO_IS_FirstRow,0,COLUMN())),0,IF(OR(AV614=AQ614,AV614=AW614,AV614=AT614),"CHECK",0))</f>
        <v>0</v>
      </c>
      <c r="AW684" s="137">
        <f>IF(ISBLANK(INDEX(MO_IS_FirstRow,0,COLUMN())),0,IF(OR(AW614=AR614,AW614=AX614,AW614=AV614),"CHECK",0))</f>
        <v>0</v>
      </c>
      <c r="AX684" s="137">
        <f>IF(ISBLANK(INDEX(MO_IS_FirstRow,0,COLUMN())),0,IF(OR(AX614=AS614,AX614=AY614,AX614=AW614),"CHECK",0))</f>
        <v>0</v>
      </c>
      <c r="AY684" s="137">
        <f>IF(ISBLANK(INDEX(MO_IS_FirstRow,0,COLUMN())),0,IF(OR(AY614=AT614,AY614=AZ614,AY614=AX614),"CHECK",0))</f>
        <v>0</v>
      </c>
      <c r="AZ684" s="137">
        <f>IF(ISBLANK(INDEX(MO_IS_FirstRow,0,COLUMN())),0,IF(AZ614=AU614,"CHECK",0))</f>
        <v>0</v>
      </c>
      <c r="BA684" s="137">
        <f>IF(ISBLANK(INDEX(MO_IS_FirstRow,0,COLUMN())),0,IF(OR(BA614=AV614,BA614=BB614,BA614=AY614),"CHECK",0))</f>
        <v>0</v>
      </c>
      <c r="BB684" s="137">
        <f>IF(ISBLANK(INDEX(MO_IS_FirstRow,0,COLUMN())),0,IF(OR(BB614=AW614,BB614=BC614,BB614=BA614),"CHECK",0))</f>
        <v>0</v>
      </c>
      <c r="BC684" s="137">
        <f>IF(ISBLANK(INDEX(MO_IS_FirstRow,0,COLUMN())),0,IF(OR(BC614=AX614,BC614=BD614,BC614=BB614),"CHECK",0))</f>
        <v>0</v>
      </c>
      <c r="BD684" s="137">
        <f>IF(ISBLANK(INDEX(MO_IS_FirstRow,0,COLUMN())),0,IF(OR(BD614=AY614,BD614=BE614,BD614=BC614),"CHECK",0))</f>
        <v>0</v>
      </c>
      <c r="BE684" s="137">
        <f>IF(ISBLANK(INDEX(MO_IS_FirstRow,0,COLUMN())),0,IF(BE614=AZ614,"CHECK",0))</f>
        <v>0</v>
      </c>
      <c r="BF684" s="137">
        <f>IF(ISBLANK(INDEX(MO_IS_FirstRow,0,COLUMN())),0,IF(OR(BF614=BA614,BF614=BG614,BF614=BD614),"CHECK",0))</f>
        <v>0</v>
      </c>
      <c r="BG684" s="137">
        <f>IF(ISBLANK(INDEX(MO_IS_FirstRow,0,COLUMN())),0,IF(OR(BG614=BB614,BG614=BH614,BG614=BF614),"CHECK",0))</f>
        <v>0</v>
      </c>
      <c r="BH684" s="555">
        <f ca="1">IF(ISBLANK(INDEX(MO_IS_FirstRow,0,COLUMN())),0,IF(OR(BH614=BC614,BH614=BI614,BH614=BG614),"CHECK",0))</f>
        <v>0</v>
      </c>
      <c r="BI684" s="137"/>
      <c r="BJ684" s="137"/>
      <c r="BK684" s="137"/>
      <c r="BL684" s="137"/>
      <c r="BM684" s="137"/>
      <c r="BN684" s="137"/>
      <c r="BO684" s="137"/>
      <c r="BP684" s="137"/>
      <c r="BQ684" s="137"/>
      <c r="BR684" s="137"/>
      <c r="BS684" s="833"/>
    </row>
    <row r="685" spans="1:71" s="24" customFormat="1" ht="15">
      <c r="A685" s="833" t="s">
        <v>280</v>
      </c>
      <c r="B685" s="430"/>
      <c r="C685" s="137">
        <f>IF(ISBLANK(INDEX(MO_IS_FirstRow,0,COLUMN())),0,IF(OR(C405=B405,C405=D405),"CHECK",0))</f>
        <v>0</v>
      </c>
      <c r="D685" s="137">
        <f>IF(ISBLANK(INDEX(MO_IS_FirstRow,0,COLUMN())),0,IF(OR(D405=C405,D405=E405),"CHECK",0))</f>
        <v>0</v>
      </c>
      <c r="E685" s="137">
        <f>IF(ISBLANK(INDEX(MO_IS_FirstRow,0,COLUMN())),0,IF(OR(E405=D405,E405=F405),"CHECK",0))</f>
        <v>0</v>
      </c>
      <c r="F685" s="137">
        <f>IF(ISBLANK(INDEX(MO_IS_FirstRow,0,COLUMN())),0,IF(OR(F405=E405,F405=G405),"CHECK",0))</f>
        <v>0</v>
      </c>
      <c r="G685" s="137">
        <f>IF(ISBLANK(INDEX(MO_IS_FirstRow,0,COLUMN())),0,IF(OR(G405=F405,G405=H405),"CHECK",0))</f>
        <v>0</v>
      </c>
      <c r="H685" s="137">
        <f>IF(ISBLANK(INDEX(MO_IS_FirstRow,0,COLUMN())),0,IF(OR(H405=C405,H405=I405,H405=F405),"CHECK",0))</f>
        <v>0</v>
      </c>
      <c r="I685" s="137">
        <f>IF(ISBLANK(INDEX(MO_IS_FirstRow,0,COLUMN())),0,IF(OR(I405=D405,I405=J405,I405=H405),"CHECK",0))</f>
        <v>0</v>
      </c>
      <c r="J685" s="137">
        <f>IF(ISBLANK(INDEX(MO_IS_FirstRow,0,COLUMN())),0,IF(OR(J405=E405,J405=K405,J405=I405),"CHECK",0))</f>
        <v>0</v>
      </c>
      <c r="K685" s="137">
        <f>IF(ISBLANK(INDEX(MO_IS_FirstRow,0,COLUMN())),0,IF(OR(K405=F405,K405=L405,K405=J405),"CHECK",0))</f>
        <v>0</v>
      </c>
      <c r="L685" s="137">
        <f>IF(ISBLANK(INDEX(MO_IS_FirstRow,0,COLUMN())),0,IF(L405=G405,"CHECK",0))</f>
        <v>0</v>
      </c>
      <c r="M685" s="137">
        <f>IF(ISBLANK(INDEX(MO_IS_FirstRow,0,COLUMN())),0,IF(OR(M405=H405,M405=N405,M405=K405),"CHECK",0))</f>
        <v>0</v>
      </c>
      <c r="N685" s="137">
        <f>IF(ISBLANK(INDEX(MO_IS_FirstRow,0,COLUMN())),0,IF(OR(N405=I405,N405=O405,N405=M405),"CHECK",0))</f>
        <v>0</v>
      </c>
      <c r="O685" s="137">
        <f>IF(ISBLANK(INDEX(MO_IS_FirstRow,0,COLUMN())),0,IF(OR(O405=J405,O405=P405,O405=N405),"CHECK",0))</f>
        <v>0</v>
      </c>
      <c r="P685" s="137">
        <f>IF(ISBLANK(INDEX(MO_IS_FirstRow,0,COLUMN())),0,IF(OR(P405=K405,P405=Q405,P405=O405),"CHECK",0))</f>
        <v>0</v>
      </c>
      <c r="Q685" s="137">
        <f>IF(ISBLANK(INDEX(MO_IS_FirstRow,0,COLUMN())),0,IF(Q405=L405,"CHECK",0))</f>
        <v>0</v>
      </c>
      <c r="R685" s="137">
        <f>IF(ISBLANK(INDEX(MO_IS_FirstRow,0,COLUMN())),0,IF(OR(R405=M405,R405=S405,R405=P405),"CHECK",0))</f>
        <v>0</v>
      </c>
      <c r="S685" s="137">
        <f>IF(ISBLANK(INDEX(MO_IS_FirstRow,0,COLUMN())),0,IF(OR(S405=N405,S405=T405,S405=R405),"CHECK",0))</f>
        <v>0</v>
      </c>
      <c r="T685" s="137">
        <f>IF(ISBLANK(INDEX(MO_IS_FirstRow,0,COLUMN())),0,IF(OR(T405=O405,T405=U405,T405=S405),"CHECK",0))</f>
        <v>0</v>
      </c>
      <c r="U685" s="137">
        <f>IF(ISBLANK(INDEX(MO_IS_FirstRow,0,COLUMN())),0,IF(OR(U405=P405,U405=V405,U405=T405),"CHECK",0))</f>
        <v>0</v>
      </c>
      <c r="V685" s="137">
        <f>IF(ISBLANK(INDEX(MO_IS_FirstRow,0,COLUMN())),0,IF(V405=Q405,"CHECK",0))</f>
        <v>0</v>
      </c>
      <c r="W685" s="137">
        <f>IF(ISBLANK(INDEX(MO_IS_FirstRow,0,COLUMN())),0,IF(OR(W405=R405,W405=X405,W405=U405),"CHECK",0))</f>
        <v>0</v>
      </c>
      <c r="X685" s="137">
        <f>IF(ISBLANK(INDEX(MO_IS_FirstRow,0,COLUMN())),0,IF(OR(X405=S405,X405=Y405,X405=W405),"CHECK",0))</f>
        <v>0</v>
      </c>
      <c r="Y685" s="137">
        <f>IF(ISBLANK(INDEX(MO_IS_FirstRow,0,COLUMN())),0,IF(OR(Y405=T405,Y405=Z405,Y405=X405),"CHECK",0))</f>
        <v>0</v>
      </c>
      <c r="Z685" s="137">
        <f>IF(ISBLANK(INDEX(MO_IS_FirstRow,0,COLUMN())),0,IF(OR(Z405=U405,Z405=AA405,Z405=Y405),"CHECK",0))</f>
        <v>0</v>
      </c>
      <c r="AA685" s="137">
        <f>IF(ISBLANK(INDEX(MO_IS_FirstRow,0,COLUMN())),0,IF(AA405=V405,"CHECK",0))</f>
        <v>0</v>
      </c>
      <c r="AB685" s="137">
        <f>IF(ISBLANK(INDEX(MO_IS_FirstRow,0,COLUMN())),0,IF(OR(AB405=W405,AB405=AC405,AB405=Z405),"CHECK",0))</f>
        <v>0</v>
      </c>
      <c r="AC685" s="137">
        <f>IF(ISBLANK(INDEX(MO_IS_FirstRow,0,COLUMN())),0,IF(OR(AC405=X405,AC405=AD405,AC405=AB405),"CHECK",0))</f>
        <v>0</v>
      </c>
      <c r="AD685" s="137">
        <f>IF(ISBLANK(INDEX(MO_IS_FirstRow,0,COLUMN())),0,IF(OR(AD405=Y405,AD405=AE405,AD405=AC405),"CHECK",0))</f>
        <v>0</v>
      </c>
      <c r="AE685" s="137">
        <f>IF(ISBLANK(INDEX(MO_IS_FirstRow,0,COLUMN())),0,IF(OR(AE405=Z405,AE405=AF405,AE405=AD405),"CHECK",0))</f>
        <v>0</v>
      </c>
      <c r="AF685" s="137">
        <f>IF(ISBLANK(INDEX(MO_IS_FirstRow,0,COLUMN())),0,IF(AF405=AA405,"CHECK",0))</f>
        <v>0</v>
      </c>
      <c r="AG685" s="137">
        <f>IF(ISBLANK(INDEX(MO_IS_FirstRow,0,COLUMN())),0,IF(OR(AG405=AB405,AG405=AH405,AG405=AE405),"CHECK",0))</f>
        <v>0</v>
      </c>
      <c r="AH685" s="137">
        <f>IF(ISBLANK(INDEX(MO_IS_FirstRow,0,COLUMN())),0,IF(OR(AH405=AC405,AH405=AI405,AH405=AG405),"CHECK",0))</f>
        <v>0</v>
      </c>
      <c r="AI685" s="137">
        <f>IF(ISBLANK(INDEX(MO_IS_FirstRow,0,COLUMN())),0,IF(OR(AI405=AD405,AI405=AJ405,AI405=AH405),"CHECK",0))</f>
        <v>0</v>
      </c>
      <c r="AJ685" s="137">
        <f>IF(ISBLANK(INDEX(MO_IS_FirstRow,0,COLUMN())),0,IF(OR(AJ405=AE405,AJ405=AK405,AJ405=AI405),"CHECK",0))</f>
        <v>0</v>
      </c>
      <c r="AK685" s="137">
        <f>IF(ISBLANK(INDEX(MO_IS_FirstRow,0,COLUMN())),0,IF(AK405=AF405,"CHECK",0))</f>
        <v>0</v>
      </c>
      <c r="AL685" s="137">
        <f>IF(ISBLANK(INDEX(MO_IS_FirstRow,0,COLUMN())),0,IF(OR(AL405=AG405,AL405=AM405,AL405=AJ405),"CHECK",0))</f>
        <v>0</v>
      </c>
      <c r="AM685" s="137">
        <f>IF(ISBLANK(INDEX(MO_IS_FirstRow,0,COLUMN())),0,IF(OR(AM405=AH405,AM405=AN405,AM405=AL405),"CHECK",0))</f>
        <v>0</v>
      </c>
      <c r="AN685" s="137">
        <f>IF(ISBLANK(INDEX(MO_IS_FirstRow,0,COLUMN())),0,IF(OR(AN405=AI405,AN405=AO405,AN405=AM405),"CHECK",0))</f>
        <v>0</v>
      </c>
      <c r="AO685" s="137">
        <f>IF(ISBLANK(INDEX(MO_IS_FirstRow,0,COLUMN())),0,IF(OR(AO405=AJ405,AO405=AP405,AO405=AN405),"CHECK",0))</f>
        <v>0</v>
      </c>
      <c r="AP685" s="137">
        <f>IF(ISBLANK(INDEX(MO_IS_FirstRow,0,COLUMN())),0,IF(AP405=AK405,"CHECK",0))</f>
        <v>0</v>
      </c>
      <c r="AQ685" s="137">
        <f>IF(ISBLANK(INDEX(MO_IS_FirstRow,0,COLUMN())),0,IF(OR(AQ405=AL405,AQ405=AR405,AQ405=AO405),"CHECK",0))</f>
        <v>0</v>
      </c>
      <c r="AR685" s="137">
        <f>IF(ISBLANK(INDEX(MO_IS_FirstRow,0,COLUMN())),0,IF(OR(AR405=AM405,AR405=AS405,AR405=AQ405),"CHECK",0))</f>
        <v>0</v>
      </c>
      <c r="AS685" s="137">
        <f>IF(ISBLANK(INDEX(MO_IS_FirstRow,0,COLUMN())),0,IF(OR(AS405=AN405,AS405=AT405,AS405=AR405),"CHECK",0))</f>
        <v>0</v>
      </c>
      <c r="AT685" s="137">
        <f>IF(ISBLANK(INDEX(MO_IS_FirstRow,0,COLUMN())),0,IF(OR(AT405=AO405,AT405=AU405,AT405=AS405),"CHECK",0))</f>
        <v>0</v>
      </c>
      <c r="AU685" s="137">
        <f>IF(ISBLANK(INDEX(MO_IS_FirstRow,0,COLUMN())),0,IF(AU405=AP405,"CHECK",0))</f>
        <v>0</v>
      </c>
      <c r="AV685" s="137">
        <f>IF(ISBLANK(INDEX(MO_IS_FirstRow,0,COLUMN())),0,IF(OR(AV405=AQ405,AV405=AW405,AV405=AT405),"CHECK",0))</f>
        <v>0</v>
      </c>
      <c r="AW685" s="137">
        <f>IF(ISBLANK(INDEX(MO_IS_FirstRow,0,COLUMN())),0,IF(OR(AW405=AR405,AW405=AX405,AW405=AV405),"CHECK",0))</f>
        <v>0</v>
      </c>
      <c r="AX685" s="137">
        <f>IF(ISBLANK(INDEX(MO_IS_FirstRow,0,COLUMN())),0,IF(OR(AX405=AS405,AX405=AY405,AX405=AW405),"CHECK",0))</f>
        <v>0</v>
      </c>
      <c r="AY685" s="137">
        <f>IF(ISBLANK(INDEX(MO_IS_FirstRow,0,COLUMN())),0,IF(OR(AY405=AT405,AY405=AZ405,AY405=AX405),"CHECK",0))</f>
        <v>0</v>
      </c>
      <c r="AZ685" s="137">
        <f>IF(ISBLANK(INDEX(MO_IS_FirstRow,0,COLUMN())),0,IF(AZ405=AU405,"CHECK",0))</f>
        <v>0</v>
      </c>
      <c r="BA685" s="137">
        <f>IF(ISBLANK(INDEX(MO_IS_FirstRow,0,COLUMN())),0,IF(OR(BA405=AV405,BA405=BB405,BA405=AY405),"CHECK",0))</f>
        <v>0</v>
      </c>
      <c r="BB685" s="137">
        <f>IF(ISBLANK(INDEX(MO_IS_FirstRow,0,COLUMN())),0,IF(OR(BB405=AW405,BB405=BC405,BB405=BA405),"CHECK",0))</f>
        <v>0</v>
      </c>
      <c r="BC685" s="137">
        <f>IF(ISBLANK(INDEX(MO_IS_FirstRow,0,COLUMN())),0,IF(OR(BC405=AX405,BC405=BD405,BC405=BB405),"CHECK",0))</f>
        <v>0</v>
      </c>
      <c r="BD685" s="137">
        <f>IF(ISBLANK(INDEX(MO_IS_FirstRow,0,COLUMN())),0,IF(OR(BD405=AY405,BD405=BE405,BD405=BC405),"CHECK",0))</f>
        <v>0</v>
      </c>
      <c r="BE685" s="137">
        <f>IF(ISBLANK(INDEX(MO_IS_FirstRow,0,COLUMN())),0,IF(BE405=AZ405,"CHECK",0))</f>
        <v>0</v>
      </c>
      <c r="BF685" s="137">
        <f>IF(ISBLANK(INDEX(MO_IS_FirstRow,0,COLUMN())),0,IF(OR(BF405=BA405,BF405=BG405,BF405=BD405),"CHECK",0))</f>
        <v>0</v>
      </c>
      <c r="BG685" s="137">
        <f>IF(ISBLANK(INDEX(MO_IS_FirstRow,0,COLUMN())),0,IF(OR(BG405=BB405,BG405=BH405,BG405=BF405),"CHECK",0))</f>
        <v>0</v>
      </c>
      <c r="BH685" s="555">
        <f>IF(ISBLANK(INDEX(MO_IS_FirstRow,0,COLUMN())),0,IF(OR(BH405=BC405,BH405=BI405,BH405=BG405),"CHECK",0))</f>
        <v>0</v>
      </c>
      <c r="BI685" s="137"/>
      <c r="BJ685" s="137"/>
      <c r="BK685" s="137"/>
      <c r="BL685" s="137"/>
      <c r="BM685" s="137"/>
      <c r="BN685" s="137"/>
      <c r="BO685" s="137"/>
      <c r="BP685" s="137"/>
      <c r="BQ685" s="137"/>
      <c r="BR685" s="137"/>
      <c r="BS685" s="833"/>
    </row>
    <row r="686" spans="1:71" s="24" customFormat="1" ht="15">
      <c r="A686" s="833" t="s">
        <v>281</v>
      </c>
      <c r="B686" s="430"/>
      <c r="C686" s="137">
        <f>IF(OR(C643=B643,C643=D643),"CHECK",0)</f>
        <v>0</v>
      </c>
      <c r="D686" s="137">
        <f>IF(OR(D643=C643,D643=E643),"CHECK",0)</f>
        <v>0</v>
      </c>
      <c r="E686" s="137">
        <f>IF(OR(E643=D643,E643=F643),"CHECK",0)</f>
        <v>0</v>
      </c>
      <c r="F686" s="137">
        <f>IF(OR(F643=E643,F643=G643),"CHECK",0)</f>
        <v>0</v>
      </c>
      <c r="G686" s="137">
        <f>IF(OR(G643=F643,G643=H643),"CHECK",0)</f>
        <v>0</v>
      </c>
      <c r="H686" s="137">
        <f>IF(OR(H643=C643,H643=I643,H643=F643),"CHECK",0)</f>
        <v>0</v>
      </c>
      <c r="I686" s="137">
        <f>IF(OR(I643=D643,I643=J643,I643=H643),"CHECK",0)</f>
        <v>0</v>
      </c>
      <c r="J686" s="137">
        <f>IF(OR(J643=E643,J643=K643,J643=I643),"CHECK",0)</f>
        <v>0</v>
      </c>
      <c r="K686" s="137">
        <f>IF(OR(K643=F643,K643=J643),"CHECK",0)</f>
        <v>0</v>
      </c>
      <c r="L686" s="137">
        <f>IF(L643=G643,"CHECK",0)</f>
        <v>0</v>
      </c>
      <c r="M686" s="137">
        <f>IF(OR(M643=H643,M643=N643,M643=K643),"CHECK",0)</f>
        <v>0</v>
      </c>
      <c r="N686" s="137">
        <f>IF(OR(N643=I643,N643=O643,N643=M643),"CHECK",0)</f>
        <v>0</v>
      </c>
      <c r="O686" s="137">
        <f>IF(OR(O643=J643,O643=P643,O643=N643),"CHECK",0)</f>
        <v>0</v>
      </c>
      <c r="P686" s="137">
        <f>IF(OR(P643=K643,P643=O643),"CHECK",0)</f>
        <v>0</v>
      </c>
      <c r="Q686" s="137">
        <f>IF(Q643=L643,"CHECK",0)</f>
        <v>0</v>
      </c>
      <c r="R686" s="137">
        <f>IF(OR(R643=M643,R643=S643,R643=P643),"CHECK",0)</f>
        <v>0</v>
      </c>
      <c r="S686" s="137">
        <f>IF(OR(S643=N643,S643=T643,S643=R643),"CHECK",0)</f>
        <v>0</v>
      </c>
      <c r="T686" s="137">
        <f>IF(OR(T643=O643,T643=U643,T643=S643),"CHECK",0)</f>
        <v>0</v>
      </c>
      <c r="U686" s="137">
        <f>IF(OR(U643=P643,U643=T643),"CHECK",0)</f>
        <v>0</v>
      </c>
      <c r="V686" s="137">
        <f>IF(V643=Q643,"CHECK",0)</f>
        <v>0</v>
      </c>
      <c r="W686" s="137">
        <f>IF(OR(W643=R643,W643=X643,W643=U643),"CHECK",0)</f>
        <v>0</v>
      </c>
      <c r="X686" s="137">
        <f>IF(OR(X643=S643,X643=Y643,X643=W643),"CHECK",0)</f>
        <v>0</v>
      </c>
      <c r="Y686" s="137">
        <f>IF(OR(Y643=T643,Y643=Z643,Y643=X643),"CHECK",0)</f>
        <v>0</v>
      </c>
      <c r="Z686" s="137">
        <f>IF(OR(Z643=U643,Z643=Y643),"CHECK",0)</f>
        <v>0</v>
      </c>
      <c r="AA686" s="137">
        <f>IF(AA643=V643,"CHECK",0)</f>
        <v>0</v>
      </c>
      <c r="AB686" s="137">
        <f>IF(OR(AB643=W643,AB643=AC643,AB643=Z643),"CHECK",0)</f>
        <v>0</v>
      </c>
      <c r="AC686" s="137">
        <f>IF(OR(AC643=X643,AC643=AD643,AC643=AB643),"CHECK",0)</f>
        <v>0</v>
      </c>
      <c r="AD686" s="137">
        <f>IF(OR(AD643=Y643,AD643=AE643,AD643=AC643),"CHECK",0)</f>
        <v>0</v>
      </c>
      <c r="AE686" s="137">
        <f>IF(OR(AE643=Z643,AE643=AD643),"CHECK",0)</f>
        <v>0</v>
      </c>
      <c r="AF686" s="137">
        <f>IF(AF643=AA643,"CHECK",0)</f>
        <v>0</v>
      </c>
      <c r="AG686" s="137">
        <f>IF(OR(AG643=AB643,AG643=AH643,AG643=AE643),"CHECK",0)</f>
        <v>0</v>
      </c>
      <c r="AH686" s="137">
        <f>IF(OR(AH643=AC643,AH643=AI643,AH643=AG643),"CHECK",0)</f>
        <v>0</v>
      </c>
      <c r="AI686" s="137">
        <f>IF(OR(AI643=AD643,AI643=AJ643,AI643=AH643),"CHECK",0)</f>
        <v>0</v>
      </c>
      <c r="AJ686" s="137">
        <f>IF(OR(AJ643=AE643,AJ643=AI643),"CHECK",0)</f>
        <v>0</v>
      </c>
      <c r="AK686" s="137">
        <f>IF(AK643=AF643,"CHECK",0)</f>
        <v>0</v>
      </c>
      <c r="AL686" s="137">
        <f>IF(OR(AL643=AG643,AL643=AM643,AL643=AJ643),"CHECK",0)</f>
        <v>0</v>
      </c>
      <c r="AM686" s="137">
        <f>IF(OR(AM643=AH643,AM643=AN643,AM643=AL643),"CHECK",0)</f>
        <v>0</v>
      </c>
      <c r="AN686" s="137">
        <f>IF(OR(AN643=AI643,AN643=AO643,AN643=AM643),"CHECK",0)</f>
        <v>0</v>
      </c>
      <c r="AO686" s="137">
        <f>IF(OR(AO643=AJ643,AO643=AN643),"CHECK",0)</f>
        <v>0</v>
      </c>
      <c r="AP686" s="137">
        <f>IF(AP643=AK643,"CHECK",0)</f>
        <v>0</v>
      </c>
      <c r="AQ686" s="137">
        <f>IF(OR(AQ643=AL643,AQ643=AR643,AQ643=AO643),"CHECK",0)</f>
        <v>0</v>
      </c>
      <c r="AR686" s="137">
        <f>IF(OR(AR643=AM643,AR643=AS643,AR643=AQ643),"CHECK",0)</f>
        <v>0</v>
      </c>
      <c r="AS686" s="137">
        <f>IF(OR(AS643=AN643,AS643=AT643,AS643=AR643),"CHECK",0)</f>
        <v>0</v>
      </c>
      <c r="AT686" s="137">
        <f>IF(OR(AT643=AO643,AT643=AS643),"CHECK",0)</f>
        <v>0</v>
      </c>
      <c r="AU686" s="137">
        <f>IF(AU643=AP643,"CHECK",0)</f>
        <v>0</v>
      </c>
      <c r="AV686" s="137">
        <f>IF(OR(AV643=AQ643,AV643=AW643,AV643=AT643),"CHECK",0)</f>
        <v>0</v>
      </c>
      <c r="AW686" s="137">
        <f>IF(OR(AW643=AR643,AW643=AX643,AW643=AV643),"CHECK",0)</f>
        <v>0</v>
      </c>
      <c r="AX686" s="137">
        <f>IF(OR(AX643=AS643,AX643=AY643,AX643=AW643),"CHECK",0)</f>
        <v>0</v>
      </c>
      <c r="AY686" s="137">
        <f>IF(OR(AY643=AT643,AY643=AX643),"CHECK",0)</f>
        <v>0</v>
      </c>
      <c r="AZ686" s="137">
        <f>IF(AZ643=AU643,"CHECK",0)</f>
        <v>0</v>
      </c>
      <c r="BA686" s="137">
        <f>IF(OR(BA643=AV643,BA643=BB643,BA643=AY643),"CHECK",0)</f>
        <v>0</v>
      </c>
      <c r="BB686" s="137">
        <f>IF(OR(BB643=AW643,BB643=BC643,BB643=BA643),"CHECK",0)</f>
        <v>0</v>
      </c>
      <c r="BC686" s="137">
        <f>IF(OR(BC643=AX643,BC643=BD643,BC643=BB643),"CHECK",0)</f>
        <v>0</v>
      </c>
      <c r="BD686" s="137">
        <f>IF(OR(BD643=AY643,BD643=BC643),"CHECK",0)</f>
        <v>0</v>
      </c>
      <c r="BE686" s="137">
        <f>IF(BE643=AZ643,"CHECK",0)</f>
        <v>0</v>
      </c>
      <c r="BF686" s="137">
        <f>IF(OR(BF643=BA643,BF643=BG643,BF643=BD643),"CHECK",0)</f>
        <v>0</v>
      </c>
      <c r="BG686" s="137">
        <f>IF(OR(BG643=BB643,BG643=BH643,BG643=BF643),"CHECK",0)</f>
        <v>0</v>
      </c>
      <c r="BH686" s="555">
        <f ca="1">IF(OR(BH643=BC643,BH643=BI643,BH643=BG643),"CHECK",0)</f>
        <v>0</v>
      </c>
      <c r="BI686" s="137"/>
      <c r="BJ686" s="137"/>
      <c r="BK686" s="137"/>
      <c r="BL686" s="137"/>
      <c r="BM686" s="137"/>
      <c r="BN686" s="137"/>
      <c r="BO686" s="137"/>
      <c r="BP686" s="137"/>
      <c r="BQ686" s="137"/>
      <c r="BR686" s="137"/>
      <c r="BS686" s="833"/>
    </row>
    <row r="687" spans="1:71" s="24" customFormat="1" ht="15">
      <c r="A687" s="833" t="s">
        <v>282</v>
      </c>
      <c r="B687" s="430"/>
      <c r="C687" s="137">
        <f t="shared" si="1459" ref="C687:AM687">IF(ISBLANK(INDEX(MO_IS_FirstRow,0,COLUMN())),0,ROUND(C617-C564,6))</f>
        <v>0</v>
      </c>
      <c r="D687" s="137">
        <f t="shared" si="1459"/>
        <v>0</v>
      </c>
      <c r="E687" s="137">
        <f t="shared" si="1459"/>
        <v>0</v>
      </c>
      <c r="F687" s="137">
        <f t="shared" si="1459"/>
        <v>0</v>
      </c>
      <c r="G687" s="137">
        <f t="shared" si="1459"/>
        <v>0</v>
      </c>
      <c r="H687" s="137">
        <f t="shared" si="1459"/>
        <v>0</v>
      </c>
      <c r="I687" s="137">
        <f t="shared" si="1459"/>
        <v>0</v>
      </c>
      <c r="J687" s="137">
        <f t="shared" si="1459"/>
        <v>0</v>
      </c>
      <c r="K687" s="137">
        <f t="shared" si="1459"/>
        <v>0</v>
      </c>
      <c r="L687" s="137">
        <f t="shared" si="1459"/>
        <v>0</v>
      </c>
      <c r="M687" s="137">
        <f t="shared" si="1459"/>
        <v>0</v>
      </c>
      <c r="N687" s="137">
        <f t="shared" si="1459"/>
        <v>0</v>
      </c>
      <c r="O687" s="137">
        <f t="shared" si="1459"/>
        <v>0</v>
      </c>
      <c r="P687" s="137">
        <f t="shared" si="1459"/>
        <v>0</v>
      </c>
      <c r="Q687" s="137">
        <f t="shared" si="1459"/>
        <v>0</v>
      </c>
      <c r="R687" s="137">
        <f t="shared" si="1459"/>
        <v>0</v>
      </c>
      <c r="S687" s="137">
        <f t="shared" si="1459"/>
        <v>0</v>
      </c>
      <c r="T687" s="137">
        <f t="shared" si="1459"/>
        <v>0</v>
      </c>
      <c r="U687" s="137">
        <f t="shared" si="1459"/>
        <v>0</v>
      </c>
      <c r="V687" s="137">
        <f t="shared" si="1459"/>
        <v>0</v>
      </c>
      <c r="W687" s="137">
        <f t="shared" si="1459"/>
        <v>0</v>
      </c>
      <c r="X687" s="137">
        <f t="shared" si="1459"/>
        <v>0</v>
      </c>
      <c r="Y687" s="137">
        <f t="shared" si="1459"/>
        <v>0</v>
      </c>
      <c r="Z687" s="137">
        <f t="shared" si="1459"/>
        <v>0</v>
      </c>
      <c r="AA687" s="137">
        <f t="shared" si="1459"/>
        <v>0</v>
      </c>
      <c r="AB687" s="137">
        <f t="shared" si="1459"/>
        <v>0</v>
      </c>
      <c r="AC687" s="137">
        <f t="shared" si="1459"/>
        <v>0</v>
      </c>
      <c r="AD687" s="137">
        <f t="shared" si="1459"/>
        <v>0</v>
      </c>
      <c r="AE687" s="137">
        <f t="shared" si="1459"/>
        <v>0</v>
      </c>
      <c r="AF687" s="137">
        <f t="shared" si="1459"/>
        <v>0</v>
      </c>
      <c r="AG687" s="137">
        <f t="shared" si="1459"/>
        <v>0</v>
      </c>
      <c r="AH687" s="137">
        <f t="shared" si="1459"/>
        <v>0</v>
      </c>
      <c r="AI687" s="137">
        <f t="shared" si="1459"/>
        <v>0</v>
      </c>
      <c r="AJ687" s="137">
        <f t="shared" si="1459"/>
        <v>0</v>
      </c>
      <c r="AK687" s="137">
        <f t="shared" si="1459"/>
        <v>0</v>
      </c>
      <c r="AL687" s="137">
        <f t="shared" si="1459"/>
        <v>0</v>
      </c>
      <c r="AM687" s="137">
        <f t="shared" si="1459"/>
        <v>0</v>
      </c>
      <c r="AN687" s="137">
        <f>IF(ISBLANK(INDEX(MO_IS_FirstRow,0,COLUMN())),0,ROUND(AN617-AN564,6))</f>
        <v>0</v>
      </c>
      <c r="AO687" s="137">
        <f t="shared" si="1460" ref="AO687:AQ687">IF(ISBLANK(INDEX(MO_IS_FirstRow,0,COLUMN())),0,ROUND(AO617-AO564,6))</f>
        <v>0</v>
      </c>
      <c r="AP687" s="137">
        <f t="shared" si="1460"/>
        <v>0</v>
      </c>
      <c r="AQ687" s="137">
        <f t="shared" si="1460"/>
        <v>0</v>
      </c>
      <c r="AR687" s="137">
        <f t="shared" si="1461" ref="AR687:AW687">IF(ISBLANK(INDEX(MO_IS_FirstRow,0,COLUMN())),0,ROUND(AR617-AR564,6))</f>
        <v>0</v>
      </c>
      <c r="AS687" s="137">
        <f t="shared" si="1461"/>
        <v>0</v>
      </c>
      <c r="AT687" s="137">
        <f t="shared" si="1461"/>
        <v>0</v>
      </c>
      <c r="AU687" s="137">
        <f t="shared" si="1461"/>
        <v>0</v>
      </c>
      <c r="AV687" s="137">
        <f t="shared" si="1461"/>
        <v>0</v>
      </c>
      <c r="AW687" s="137">
        <f t="shared" si="1461"/>
        <v>0</v>
      </c>
      <c r="AX687" s="137">
        <f t="shared" si="1462" ref="AX687:BJ687">IF(ISBLANK(INDEX(MO_IS_FirstRow,0,COLUMN())),0,ROUND(AX617-AX564,6))</f>
        <v>0</v>
      </c>
      <c r="AY687" s="137">
        <f t="shared" si="1462"/>
        <v>0</v>
      </c>
      <c r="AZ687" s="137">
        <f t="shared" si="1462"/>
        <v>0</v>
      </c>
      <c r="BA687" s="137">
        <f t="shared" si="1463" ref="BA687:BI687">IF(ISBLANK(INDEX(MO_IS_FirstRow,0,COLUMN())),0,ROUND(BA617-BA564,6))</f>
        <v>0</v>
      </c>
      <c r="BB687" s="137">
        <f t="shared" si="1463"/>
        <v>0</v>
      </c>
      <c r="BC687" s="137">
        <f t="shared" si="1463"/>
        <v>0</v>
      </c>
      <c r="BD687" s="137">
        <f t="shared" si="1463"/>
        <v>0</v>
      </c>
      <c r="BE687" s="137">
        <f t="shared" si="1463"/>
        <v>0</v>
      </c>
      <c r="BF687" s="137">
        <f>IF(ISBLANK(INDEX(MO_IS_FirstRow,0,COLUMN())),0,ROUND(BF617-BF564,6))</f>
        <v>0</v>
      </c>
      <c r="BG687" s="137">
        <f>IF(ISBLANK(INDEX(MO_IS_FirstRow,0,COLUMN())),0,ROUND(BG617-BG564,6))</f>
        <v>0</v>
      </c>
      <c r="BH687" s="555">
        <f>IF(ISBLANK(INDEX(MO_IS_FirstRow,0,COLUMN())),0,ROUND(BH617-BH564,6))</f>
        <v>0</v>
      </c>
      <c r="BI687" s="137">
        <f t="shared" si="1463"/>
        <v>0</v>
      </c>
      <c r="BJ687" s="137">
        <f t="shared" si="1462"/>
        <v>0</v>
      </c>
      <c r="BK687" s="137">
        <f t="shared" si="1464" ref="BK687:BR687">IF(ISBLANK(INDEX(MO_IS_FirstRow,0,COLUMN())),0,ROUND(BK617-BK564,6))</f>
        <v>0</v>
      </c>
      <c r="BL687" s="137">
        <f t="shared" si="1464"/>
        <v>0</v>
      </c>
      <c r="BM687" s="137">
        <f t="shared" si="1464"/>
        <v>0</v>
      </c>
      <c r="BN687" s="137">
        <f t="shared" si="1464"/>
        <v>0</v>
      </c>
      <c r="BO687" s="137">
        <f t="shared" si="1464"/>
        <v>0</v>
      </c>
      <c r="BP687" s="137">
        <f t="shared" si="1464"/>
        <v>0</v>
      </c>
      <c r="BQ687" s="137">
        <f t="shared" si="1464"/>
        <v>0</v>
      </c>
      <c r="BR687" s="137">
        <f t="shared" si="1464"/>
        <v>0</v>
      </c>
      <c r="BS687" s="833"/>
    </row>
    <row r="688" spans="1:71" s="24" customFormat="1" ht="15">
      <c r="A688" s="833" t="s">
        <v>283</v>
      </c>
      <c r="B688" s="430"/>
      <c r="C688" s="137"/>
      <c r="D688" s="137"/>
      <c r="E688" s="137"/>
      <c r="F688" s="137"/>
      <c r="G688" s="137"/>
      <c r="H688" s="137"/>
      <c r="I688" s="137"/>
      <c r="J688" s="137"/>
      <c r="K688" s="137"/>
      <c r="L688" s="137">
        <f>ROUND(L405-SUM(H405,I405,J405,K405),6)</f>
        <v>0</v>
      </c>
      <c r="M688" s="137"/>
      <c r="N688" s="137"/>
      <c r="O688" s="137"/>
      <c r="P688" s="137"/>
      <c r="Q688" s="137">
        <f>ROUND(Q405-SUM(M405,N405,O405,P405),6)</f>
        <v>0</v>
      </c>
      <c r="R688" s="137"/>
      <c r="S688" s="137"/>
      <c r="T688" s="137"/>
      <c r="U688" s="137"/>
      <c r="V688" s="137">
        <f>ROUND(V405-SUM(R405,S405,T405,U405),6)</f>
        <v>0</v>
      </c>
      <c r="W688" s="137"/>
      <c r="X688" s="137"/>
      <c r="Y688" s="137"/>
      <c r="Z688" s="137"/>
      <c r="AA688" s="137">
        <f>ROUND(AA405-SUM(W405,X405,Y405,Z405),6)</f>
        <v>0</v>
      </c>
      <c r="AB688" s="137"/>
      <c r="AC688" s="137"/>
      <c r="AD688" s="137"/>
      <c r="AE688" s="137"/>
      <c r="AF688" s="137">
        <f>ROUND(AF405-SUM(AB405,AC405,AD405,AE405),6)</f>
        <v>0</v>
      </c>
      <c r="AG688" s="137"/>
      <c r="AH688" s="137"/>
      <c r="AI688" s="137"/>
      <c r="AJ688" s="137"/>
      <c r="AK688" s="137">
        <f>ROUND(AK405-SUM(AG405,AH405,AI405,AJ405),6)</f>
        <v>0</v>
      </c>
      <c r="AL688" s="137"/>
      <c r="AM688" s="137"/>
      <c r="AN688" s="137"/>
      <c r="AO688" s="137"/>
      <c r="AP688" s="137">
        <f>ROUND(AP405-SUM(AL405,AM405,AN405,AO405),6)</f>
        <v>0</v>
      </c>
      <c r="AQ688" s="137"/>
      <c r="AR688" s="137"/>
      <c r="AS688" s="137"/>
      <c r="AT688" s="137"/>
      <c r="AU688" s="137">
        <f>ROUND(AU405-SUM(AQ405,AR405,AS405,AT405),6)</f>
        <v>0</v>
      </c>
      <c r="AV688" s="137"/>
      <c r="AW688" s="137"/>
      <c r="AX688" s="137"/>
      <c r="AY688" s="137"/>
      <c r="AZ688" s="137">
        <f>ROUND(AZ405-SUM(AV405,AW405,AX405,AY405),6)</f>
        <v>0</v>
      </c>
      <c r="BA688" s="137"/>
      <c r="BB688" s="137"/>
      <c r="BC688" s="137"/>
      <c r="BD688" s="137"/>
      <c r="BE688" s="137">
        <f>ROUND(BE405-SUM(BA405,BB405,BC405,BD405),6)</f>
        <v>0</v>
      </c>
      <c r="BF688" s="137"/>
      <c r="BG688" s="137"/>
      <c r="BH688" s="555"/>
      <c r="BI688" s="137"/>
      <c r="BJ688" s="137"/>
      <c r="BK688" s="137"/>
      <c r="BL688" s="137"/>
      <c r="BM688" s="137"/>
      <c r="BN688" s="137"/>
      <c r="BO688" s="137"/>
      <c r="BP688" s="137"/>
      <c r="BQ688" s="137"/>
      <c r="BR688" s="137"/>
      <c r="BS688" s="833"/>
    </row>
    <row r="689" spans="1:71" s="24" customFormat="1" ht="15">
      <c r="A689" s="833" t="s">
        <v>284</v>
      </c>
      <c r="B689" s="430"/>
      <c r="C689" s="137"/>
      <c r="D689" s="137"/>
      <c r="E689" s="137"/>
      <c r="F689" s="137"/>
      <c r="G689" s="137"/>
      <c r="H689" s="137"/>
      <c r="I689" s="137"/>
      <c r="J689" s="137"/>
      <c r="K689" s="137"/>
      <c r="L689" s="137">
        <f>ROUND(SUM(H415,I415,J415,K415)-INDEX(MO_RIS_NI_NONGAAP_Diluted,1,COLUMN()),6)</f>
        <v>0</v>
      </c>
      <c r="M689" s="137"/>
      <c r="N689" s="137"/>
      <c r="O689" s="137"/>
      <c r="P689" s="137"/>
      <c r="Q689" s="137">
        <f>ROUND(SUM(M415,N415,O415,P415)-INDEX(MO_RIS_NI_NONGAAP_Diluted,1,COLUMN()),6)</f>
        <v>0</v>
      </c>
      <c r="R689" s="137"/>
      <c r="S689" s="137"/>
      <c r="T689" s="137"/>
      <c r="U689" s="137"/>
      <c r="V689" s="137">
        <f>ROUND(SUM(R415,S415,T415,U415)-INDEX(MO_RIS_NI_NONGAAP_Diluted,1,COLUMN()),6)</f>
        <v>0</v>
      </c>
      <c r="W689" s="137"/>
      <c r="X689" s="137"/>
      <c r="Y689" s="137"/>
      <c r="Z689" s="137"/>
      <c r="AA689" s="137">
        <f>ROUND(SUM(W415,X415,Y415,Z415)-INDEX(MO_RIS_NI_NONGAAP_Diluted,1,COLUMN()),6)</f>
        <v>0</v>
      </c>
      <c r="AB689" s="137"/>
      <c r="AC689" s="137"/>
      <c r="AD689" s="137"/>
      <c r="AE689" s="137"/>
      <c r="AF689" s="137">
        <f>ROUND(SUM(AB415,AC415,AD415,AE415)-INDEX(MO_RIS_NI_NONGAAP_Diluted,1,COLUMN()),6)</f>
        <v>0</v>
      </c>
      <c r="AG689" s="137"/>
      <c r="AH689" s="137"/>
      <c r="AI689" s="137"/>
      <c r="AJ689" s="137"/>
      <c r="AK689" s="137">
        <f>ROUND(SUM(AG415,AH415,AI415,AJ415)-INDEX(MO_RIS_NI_NONGAAP_Diluted,1,COLUMN()),6)</f>
        <v>0</v>
      </c>
      <c r="AL689" s="137"/>
      <c r="AM689" s="137"/>
      <c r="AN689" s="137"/>
      <c r="AO689" s="137"/>
      <c r="AP689" s="137">
        <f>ROUND(SUM(AL415,AM415,AN415,AO415)-INDEX(MO_RIS_NI_NONGAAP_Diluted,1,COLUMN()),6)</f>
        <v>0</v>
      </c>
      <c r="AQ689" s="137"/>
      <c r="AR689" s="137"/>
      <c r="AS689" s="137"/>
      <c r="AT689" s="137"/>
      <c r="AU689" s="137">
        <f>ROUND(SUM(AQ415,AR415,AS415,AT415)-INDEX(MO_RIS_NI_NONGAAP_Diluted,1,COLUMN()),6)</f>
        <v>0</v>
      </c>
      <c r="AV689" s="137"/>
      <c r="AW689" s="137"/>
      <c r="AX689" s="137"/>
      <c r="AY689" s="137"/>
      <c r="AZ689" s="137">
        <f>ROUND(SUM(AV415,AW415,AX415,AY415)-INDEX(MO_RIS_NI_NONGAAP_Diluted,1,COLUMN()),6)</f>
        <v>0</v>
      </c>
      <c r="BA689" s="137"/>
      <c r="BB689" s="137"/>
      <c r="BC689" s="137"/>
      <c r="BD689" s="137"/>
      <c r="BE689" s="137">
        <f>ROUND(SUM(BA415,BB415,BC415,BD415)-INDEX(MO_RIS_NI_NONGAAP_Diluted,1,COLUMN()),6)</f>
        <v>0</v>
      </c>
      <c r="BF689" s="137"/>
      <c r="BG689" s="137"/>
      <c r="BH689" s="555"/>
      <c r="BI689" s="137"/>
      <c r="BJ689" s="137"/>
      <c r="BK689" s="137"/>
      <c r="BL689" s="137"/>
      <c r="BM689" s="137"/>
      <c r="BN689" s="137"/>
      <c r="BO689" s="137"/>
      <c r="BP689" s="137"/>
      <c r="BQ689" s="137"/>
      <c r="BR689" s="137"/>
      <c r="BS689" s="833"/>
    </row>
    <row r="690" spans="1:71" s="24" customFormat="1" ht="15">
      <c r="A690" s="833" t="s">
        <v>285</v>
      </c>
      <c r="B690" s="430"/>
      <c r="C690" s="137"/>
      <c r="D690" s="137"/>
      <c r="E690" s="137"/>
      <c r="F690" s="137"/>
      <c r="G690" s="137"/>
      <c r="H690" s="137"/>
      <c r="I690" s="137"/>
      <c r="J690" s="137"/>
      <c r="K690" s="137"/>
      <c r="L690" s="137">
        <f ca="1">ROUND(SUM(H577,I577,J577,K577)-SUM(OFFSET(INDEX(MO_CFS_CFO_BeforeWC,1,COLUMN()),ROW(INDEX(MO_SubSection_CFS_CFO,1,COLUMN()))-ROW(INDEX(MO_CFS_CFO_BeforeWC,1,COLUMN())),0,ROW(INDEX(MO_CFS_CFO_BeforeWC,1,COLUMN()))-ROW(INDEX(MO_SubSection_CFS_CFO,1,COLUMN())),1)),6)</f>
        <v>0</v>
      </c>
      <c r="M690" s="137"/>
      <c r="N690" s="137"/>
      <c r="O690" s="137"/>
      <c r="P690" s="137"/>
      <c r="Q690" s="137">
        <f ca="1">ROUND(SUM(M577,N577,O577,P577)-SUM(OFFSET(INDEX(MO_CFS_CFO_BeforeWC,1,COLUMN()),ROW(INDEX(MO_SubSection_CFS_CFO,1,COLUMN()))-ROW(INDEX(MO_CFS_CFO_BeforeWC,1,COLUMN())),0,ROW(INDEX(MO_CFS_CFO_BeforeWC,1,COLUMN()))-ROW(INDEX(MO_SubSection_CFS_CFO,1,COLUMN())),1)),6)</f>
        <v>0</v>
      </c>
      <c r="R690" s="137"/>
      <c r="S690" s="137"/>
      <c r="T690" s="137"/>
      <c r="U690" s="137"/>
      <c r="V690" s="137">
        <f ca="1">ROUND(SUM(R577,S577,T577,U577)-SUM(OFFSET(INDEX(MO_CFS_CFO_BeforeWC,1,COLUMN()),ROW(INDEX(MO_SubSection_CFS_CFO,1,COLUMN()))-ROW(INDEX(MO_CFS_CFO_BeforeWC,1,COLUMN())),0,ROW(INDEX(MO_CFS_CFO_BeforeWC,1,COLUMN()))-ROW(INDEX(MO_SubSection_CFS_CFO,1,COLUMN())),1)),6)</f>
        <v>0</v>
      </c>
      <c r="W690" s="137"/>
      <c r="X690" s="137"/>
      <c r="Y690" s="137"/>
      <c r="Z690" s="137"/>
      <c r="AA690" s="137">
        <f ca="1">ROUND(SUM(W577,X577,Y577,Z577)-SUM(OFFSET(INDEX(MO_CFS_CFO_BeforeWC,1,COLUMN()),ROW(INDEX(MO_SubSection_CFS_CFO,1,COLUMN()))-ROW(INDEX(MO_CFS_CFO_BeforeWC,1,COLUMN())),0,ROW(INDEX(MO_CFS_CFO_BeforeWC,1,COLUMN()))-ROW(INDEX(MO_SubSection_CFS_CFO,1,COLUMN())),1)),6)</f>
        <v>0</v>
      </c>
      <c r="AB690" s="137"/>
      <c r="AC690" s="137"/>
      <c r="AD690" s="137"/>
      <c r="AE690" s="137"/>
      <c r="AF690" s="137">
        <f ca="1">ROUND(SUM(AB577,AC577,AD577,AE577)-SUM(OFFSET(INDEX(MO_CFS_CFO_BeforeWC,1,COLUMN()),ROW(INDEX(MO_SubSection_CFS_CFO,1,COLUMN()))-ROW(INDEX(MO_CFS_CFO_BeforeWC,1,COLUMN())),0,ROW(INDEX(MO_CFS_CFO_BeforeWC,1,COLUMN()))-ROW(INDEX(MO_SubSection_CFS_CFO,1,COLUMN())),1)),6)</f>
        <v>0</v>
      </c>
      <c r="AG690" s="137"/>
      <c r="AH690" s="137"/>
      <c r="AI690" s="137"/>
      <c r="AJ690" s="137"/>
      <c r="AK690" s="137">
        <f ca="1">ROUND(SUM(AG577,AH577,AI577,AJ577)-SUM(OFFSET(INDEX(MO_CFS_CFO_BeforeWC,1,COLUMN()),ROW(INDEX(MO_SubSection_CFS_CFO,1,COLUMN()))-ROW(INDEX(MO_CFS_CFO_BeforeWC,1,COLUMN())),0,ROW(INDEX(MO_CFS_CFO_BeforeWC,1,COLUMN()))-ROW(INDEX(MO_SubSection_CFS_CFO,1,COLUMN())),1)),6)</f>
        <v>0</v>
      </c>
      <c r="AL690" s="137"/>
      <c r="AM690" s="137"/>
      <c r="AN690" s="137"/>
      <c r="AO690" s="137"/>
      <c r="AP690" s="137">
        <f ca="1">ROUND(SUM(AL577,AM577,AN577,AO577)-SUM(OFFSET(INDEX(MO_CFS_CFO_BeforeWC,1,COLUMN()),ROW(INDEX(MO_SubSection_CFS_CFO,1,COLUMN()))-ROW(INDEX(MO_CFS_CFO_BeforeWC,1,COLUMN())),0,ROW(INDEX(MO_CFS_CFO_BeforeWC,1,COLUMN()))-ROW(INDEX(MO_SubSection_CFS_CFO,1,COLUMN())),1)),6)</f>
        <v>0</v>
      </c>
      <c r="AQ690" s="137"/>
      <c r="AR690" s="137"/>
      <c r="AS690" s="137"/>
      <c r="AT690" s="137"/>
      <c r="AU690" s="137">
        <f ca="1">ROUND(SUM(AQ577,AR577,AS577,AT577)-SUM(OFFSET(INDEX(MO_CFS_CFO_BeforeWC,1,COLUMN()),ROW(INDEX(MO_SubSection_CFS_CFO,1,COLUMN()))-ROW(INDEX(MO_CFS_CFO_BeforeWC,1,COLUMN())),0,ROW(INDEX(MO_CFS_CFO_BeforeWC,1,COLUMN()))-ROW(INDEX(MO_SubSection_CFS_CFO,1,COLUMN())),1)),6)</f>
        <v>0</v>
      </c>
      <c r="AV690" s="137"/>
      <c r="AW690" s="137"/>
      <c r="AX690" s="137"/>
      <c r="AY690" s="137"/>
      <c r="AZ690" s="137">
        <f ca="1">ROUND(SUM(AV577,AW577,AX577,AY577)-SUM(OFFSET(INDEX(MO_CFS_CFO_BeforeWC,1,COLUMN()),ROW(INDEX(MO_SubSection_CFS_CFO,1,COLUMN()))-ROW(INDEX(MO_CFS_CFO_BeforeWC,1,COLUMN())),0,ROW(INDEX(MO_CFS_CFO_BeforeWC,1,COLUMN()))-ROW(INDEX(MO_SubSection_CFS_CFO,1,COLUMN())),1)),6)</f>
        <v>0</v>
      </c>
      <c r="BA690" s="137"/>
      <c r="BB690" s="137"/>
      <c r="BC690" s="137"/>
      <c r="BD690" s="137"/>
      <c r="BE690" s="137">
        <f ca="1">ROUND(SUM(BA577,BB577,BC577,BD577)-SUM(OFFSET(INDEX(MO_CFS_CFO_BeforeWC,1,COLUMN()),ROW(INDEX(MO_SubSection_CFS_CFO,1,COLUMN()))-ROW(INDEX(MO_CFS_CFO_BeforeWC,1,COLUMN())),0,ROW(INDEX(MO_CFS_CFO_BeforeWC,1,COLUMN()))-ROW(INDEX(MO_SubSection_CFS_CFO,1,COLUMN())),1)),6)</f>
        <v>0</v>
      </c>
      <c r="BF690" s="137"/>
      <c r="BG690" s="137"/>
      <c r="BH690" s="555"/>
      <c r="BI690" s="137"/>
      <c r="BJ690" s="137"/>
      <c r="BK690" s="137"/>
      <c r="BL690" s="137"/>
      <c r="BM690" s="137"/>
      <c r="BN690" s="137"/>
      <c r="BO690" s="137"/>
      <c r="BP690" s="137"/>
      <c r="BQ690" s="137"/>
      <c r="BR690" s="137"/>
      <c r="BS690" s="833"/>
    </row>
    <row r="691" spans="1:71" s="24" customFormat="1" ht="15">
      <c r="A691" s="833" t="s">
        <v>286</v>
      </c>
      <c r="B691" s="430"/>
      <c r="C691" s="137"/>
      <c r="D691" s="137"/>
      <c r="E691" s="137"/>
      <c r="F691" s="137"/>
      <c r="G691" s="137"/>
      <c r="H691" s="137"/>
      <c r="I691" s="137"/>
      <c r="J691" s="137"/>
      <c r="K691" s="137"/>
      <c r="L691" s="137">
        <f ca="1">ROUND(SUM(H585,I585,J585,K585)-SUM(OFFSET(INDEX(MO_CFS_CFO,1,COLUMN()),ROW(INDEX(MO_CFS_CFO_BeforeWC,1,COLUMN()))-ROW(INDEX(MO_CFS_CFO,1,COLUMN())),0,ROW(INDEX(MO_CFS_CFO,1,COLUMN()))-ROW(INDEX(MO_CFS_CFO_BeforeWC,1,COLUMN())),1)),6)</f>
        <v>0</v>
      </c>
      <c r="M691" s="137"/>
      <c r="N691" s="137"/>
      <c r="O691" s="137"/>
      <c r="P691" s="137"/>
      <c r="Q691" s="137">
        <f ca="1">ROUND(SUM(M585,N585,O585,P585)-SUM(OFFSET(INDEX(MO_CFS_CFO,1,COLUMN()),ROW(INDEX(MO_CFS_CFO_BeforeWC,1,COLUMN()))-ROW(INDEX(MO_CFS_CFO,1,COLUMN())),0,ROW(INDEX(MO_CFS_CFO,1,COLUMN()))-ROW(INDEX(MO_CFS_CFO_BeforeWC,1,COLUMN())),1)),6)</f>
        <v>0</v>
      </c>
      <c r="R691" s="137"/>
      <c r="S691" s="137"/>
      <c r="T691" s="137"/>
      <c r="U691" s="137"/>
      <c r="V691" s="137">
        <f ca="1">ROUND(SUM(R585,S585,T585,U585)-SUM(OFFSET(INDEX(MO_CFS_CFO,1,COLUMN()),ROW(INDEX(MO_CFS_CFO_BeforeWC,1,COLUMN()))-ROW(INDEX(MO_CFS_CFO,1,COLUMN())),0,ROW(INDEX(MO_CFS_CFO,1,COLUMN()))-ROW(INDEX(MO_CFS_CFO_BeforeWC,1,COLUMN())),1)),6)</f>
        <v>0</v>
      </c>
      <c r="W691" s="137"/>
      <c r="X691" s="137"/>
      <c r="Y691" s="137"/>
      <c r="Z691" s="137"/>
      <c r="AA691" s="137">
        <f ca="1">ROUND(SUM(W585,X585,Y585,Z585)-SUM(OFFSET(INDEX(MO_CFS_CFO,1,COLUMN()),ROW(INDEX(MO_CFS_CFO_BeforeWC,1,COLUMN()))-ROW(INDEX(MO_CFS_CFO,1,COLUMN())),0,ROW(INDEX(MO_CFS_CFO,1,COLUMN()))-ROW(INDEX(MO_CFS_CFO_BeforeWC,1,COLUMN())),1)),6)</f>
        <v>0</v>
      </c>
      <c r="AB691" s="137"/>
      <c r="AC691" s="137"/>
      <c r="AD691" s="137"/>
      <c r="AE691" s="137"/>
      <c r="AF691" s="137">
        <f ca="1">ROUND(SUM(AB585,AC585,AD585,AE585)-SUM(OFFSET(INDEX(MO_CFS_CFO,1,COLUMN()),ROW(INDEX(MO_CFS_CFO_BeforeWC,1,COLUMN()))-ROW(INDEX(MO_CFS_CFO,1,COLUMN())),0,ROW(INDEX(MO_CFS_CFO,1,COLUMN()))-ROW(INDEX(MO_CFS_CFO_BeforeWC,1,COLUMN())),1)),6)</f>
        <v>0</v>
      </c>
      <c r="AG691" s="137"/>
      <c r="AH691" s="137"/>
      <c r="AI691" s="137"/>
      <c r="AJ691" s="137"/>
      <c r="AK691" s="137">
        <f ca="1">ROUND(SUM(AG585,AH585,AI585,AJ585)-SUM(OFFSET(INDEX(MO_CFS_CFO,1,COLUMN()),ROW(INDEX(MO_CFS_CFO_BeforeWC,1,COLUMN()))-ROW(INDEX(MO_CFS_CFO,1,COLUMN())),0,ROW(INDEX(MO_CFS_CFO,1,COLUMN()))-ROW(INDEX(MO_CFS_CFO_BeforeWC,1,COLUMN())),1)),6)</f>
        <v>0</v>
      </c>
      <c r="AL691" s="137"/>
      <c r="AM691" s="137"/>
      <c r="AN691" s="137"/>
      <c r="AO691" s="137"/>
      <c r="AP691" s="137">
        <f ca="1">ROUND(SUM(AL585,AM585,AN585,AO585)-SUM(OFFSET(INDEX(MO_CFS_CFO,1,COLUMN()),ROW(INDEX(MO_CFS_CFO_BeforeWC,1,COLUMN()))-ROW(INDEX(MO_CFS_CFO,1,COLUMN())),0,ROW(INDEX(MO_CFS_CFO,1,COLUMN()))-ROW(INDEX(MO_CFS_CFO_BeforeWC,1,COLUMN())),1)),6)</f>
        <v>0</v>
      </c>
      <c r="AQ691" s="137"/>
      <c r="AR691" s="137"/>
      <c r="AS691" s="137"/>
      <c r="AT691" s="137"/>
      <c r="AU691" s="137">
        <f ca="1">ROUND(SUM(AQ585,AR585,AS585,AT585)-SUM(OFFSET(INDEX(MO_CFS_CFO,1,COLUMN()),ROW(INDEX(MO_CFS_CFO_BeforeWC,1,COLUMN()))-ROW(INDEX(MO_CFS_CFO,1,COLUMN())),0,ROW(INDEX(MO_CFS_CFO,1,COLUMN()))-ROW(INDEX(MO_CFS_CFO_BeforeWC,1,COLUMN())),1)),6)</f>
        <v>0</v>
      </c>
      <c r="AV691" s="137"/>
      <c r="AW691" s="137"/>
      <c r="AX691" s="137"/>
      <c r="AY691" s="137"/>
      <c r="AZ691" s="137">
        <f ca="1">ROUND(SUM(AV585,AW585,AX585,AY585)-SUM(OFFSET(INDEX(MO_CFS_CFO,1,COLUMN()),ROW(INDEX(MO_CFS_CFO_BeforeWC,1,COLUMN()))-ROW(INDEX(MO_CFS_CFO,1,COLUMN())),0,ROW(INDEX(MO_CFS_CFO,1,COLUMN()))-ROW(INDEX(MO_CFS_CFO_BeforeWC,1,COLUMN())),1)),6)</f>
        <v>0</v>
      </c>
      <c r="BA691" s="137"/>
      <c r="BB691" s="137"/>
      <c r="BC691" s="137"/>
      <c r="BD691" s="137"/>
      <c r="BE691" s="137">
        <f ca="1">ROUND(SUM(BA585,BB585,BC585,BD585)-SUM(OFFSET(INDEX(MO_CFS_CFO,1,COLUMN()),ROW(INDEX(MO_CFS_CFO_BeforeWC,1,COLUMN()))-ROW(INDEX(MO_CFS_CFO,1,COLUMN())),0,ROW(INDEX(MO_CFS_CFO,1,COLUMN()))-ROW(INDEX(MO_CFS_CFO_BeforeWC,1,COLUMN())),1)),6)</f>
        <v>0</v>
      </c>
      <c r="BF691" s="137"/>
      <c r="BG691" s="137"/>
      <c r="BH691" s="555"/>
      <c r="BI691" s="137"/>
      <c r="BJ691" s="137"/>
      <c r="BK691" s="137"/>
      <c r="BL691" s="137"/>
      <c r="BM691" s="137"/>
      <c r="BN691" s="137"/>
      <c r="BO691" s="137"/>
      <c r="BP691" s="137"/>
      <c r="BQ691" s="137"/>
      <c r="BR691" s="137"/>
      <c r="BS691" s="833"/>
    </row>
    <row r="692" spans="1:71" s="24" customFormat="1" ht="15">
      <c r="A692" s="833" t="s">
        <v>287</v>
      </c>
      <c r="B692" s="430"/>
      <c r="C692" s="137"/>
      <c r="D692" s="137"/>
      <c r="E692" s="137"/>
      <c r="F692" s="137"/>
      <c r="G692" s="137"/>
      <c r="H692" s="137"/>
      <c r="I692" s="137"/>
      <c r="J692" s="137"/>
      <c r="K692" s="137"/>
      <c r="L692" s="137">
        <f ca="1">ROUND(SUM(H601,I601,J601,K601)-SUM(OFFSET(INDEX(MO_CFS_CFI,1,COLUMN()),ROW(INDEX(MO_SubSection_CFS_CFI,1,COLUMN()))-ROW(INDEX(MO_CFS_CFI,1,COLUMN())),0,ROW(INDEX(MO_CFS_CFI,1,COLUMN()))-ROW(INDEX(MO_SubSection_CFS_CFI,1,COLUMN())),1)),6)</f>
        <v>0</v>
      </c>
      <c r="M692" s="137"/>
      <c r="N692" s="137"/>
      <c r="O692" s="137"/>
      <c r="P692" s="137"/>
      <c r="Q692" s="137">
        <f ca="1">ROUND(SUM(M601,N601,O601,P601)-SUM(OFFSET(INDEX(MO_CFS_CFI,1,COLUMN()),ROW(INDEX(MO_SubSection_CFS_CFI,1,COLUMN()))-ROW(INDEX(MO_CFS_CFI,1,COLUMN())),0,ROW(INDEX(MO_CFS_CFI,1,COLUMN()))-ROW(INDEX(MO_SubSection_CFS_CFI,1,COLUMN())),1)),6)</f>
        <v>0</v>
      </c>
      <c r="R692" s="137"/>
      <c r="S692" s="137"/>
      <c r="T692" s="137"/>
      <c r="U692" s="137"/>
      <c r="V692" s="137">
        <f ca="1">ROUND(SUM(R601,S601,T601,U601)-SUM(OFFSET(INDEX(MO_CFS_CFI,1,COLUMN()),ROW(INDEX(MO_SubSection_CFS_CFI,1,COLUMN()))-ROW(INDEX(MO_CFS_CFI,1,COLUMN())),0,ROW(INDEX(MO_CFS_CFI,1,COLUMN()))-ROW(INDEX(MO_SubSection_CFS_CFI,1,COLUMN())),1)),6)</f>
        <v>0</v>
      </c>
      <c r="W692" s="137"/>
      <c r="X692" s="137"/>
      <c r="Y692" s="137"/>
      <c r="Z692" s="137"/>
      <c r="AA692" s="137">
        <f ca="1">ROUND(SUM(W601,X601,Y601,Z601)-SUM(OFFSET(INDEX(MO_CFS_CFI,1,COLUMN()),ROW(INDEX(MO_SubSection_CFS_CFI,1,COLUMN()))-ROW(INDEX(MO_CFS_CFI,1,COLUMN())),0,ROW(INDEX(MO_CFS_CFI,1,COLUMN()))-ROW(INDEX(MO_SubSection_CFS_CFI,1,COLUMN())),1)),6)</f>
        <v>0</v>
      </c>
      <c r="AB692" s="137"/>
      <c r="AC692" s="137"/>
      <c r="AD692" s="137"/>
      <c r="AE692" s="137"/>
      <c r="AF692" s="137">
        <f ca="1">ROUND(SUM(AB601,AC601,AD601,AE601)-SUM(OFFSET(INDEX(MO_CFS_CFI,1,COLUMN()),ROW(INDEX(MO_SubSection_CFS_CFI,1,COLUMN()))-ROW(INDEX(MO_CFS_CFI,1,COLUMN())),0,ROW(INDEX(MO_CFS_CFI,1,COLUMN()))-ROW(INDEX(MO_SubSection_CFS_CFI,1,COLUMN())),1)),6)</f>
        <v>0</v>
      </c>
      <c r="AG692" s="137"/>
      <c r="AH692" s="137"/>
      <c r="AI692" s="137"/>
      <c r="AJ692" s="137"/>
      <c r="AK692" s="137">
        <f ca="1">ROUND(SUM(AG601,AH601,AI601,AJ601)-SUM(OFFSET(INDEX(MO_CFS_CFI,1,COLUMN()),ROW(INDEX(MO_SubSection_CFS_CFI,1,COLUMN()))-ROW(INDEX(MO_CFS_CFI,1,COLUMN())),0,ROW(INDEX(MO_CFS_CFI,1,COLUMN()))-ROW(INDEX(MO_SubSection_CFS_CFI,1,COLUMN())),1)),6)</f>
        <v>0</v>
      </c>
      <c r="AL692" s="137"/>
      <c r="AM692" s="137"/>
      <c r="AN692" s="137"/>
      <c r="AO692" s="137"/>
      <c r="AP692" s="137">
        <f ca="1">ROUND(SUM(AL601,AM601,AN601,AO601)-SUM(OFFSET(INDEX(MO_CFS_CFI,1,COLUMN()),ROW(INDEX(MO_SubSection_CFS_CFI,1,COLUMN()))-ROW(INDEX(MO_CFS_CFI,1,COLUMN())),0,ROW(INDEX(MO_CFS_CFI,1,COLUMN()))-ROW(INDEX(MO_SubSection_CFS_CFI,1,COLUMN())),1)),6)</f>
        <v>0</v>
      </c>
      <c r="AQ692" s="137"/>
      <c r="AR692" s="137"/>
      <c r="AS692" s="137"/>
      <c r="AT692" s="137"/>
      <c r="AU692" s="137">
        <f ca="1">ROUND(SUM(AQ601,AR601,AS601,AT601)-SUM(OFFSET(INDEX(MO_CFS_CFI,1,COLUMN()),ROW(INDEX(MO_SubSection_CFS_CFI,1,COLUMN()))-ROW(INDEX(MO_CFS_CFI,1,COLUMN())),0,ROW(INDEX(MO_CFS_CFI,1,COLUMN()))-ROW(INDEX(MO_SubSection_CFS_CFI,1,COLUMN())),1)),6)</f>
        <v>0</v>
      </c>
      <c r="AV692" s="137"/>
      <c r="AW692" s="137"/>
      <c r="AX692" s="137"/>
      <c r="AY692" s="137"/>
      <c r="AZ692" s="137">
        <f ca="1">ROUND(SUM(AV601,AW601,AX601,AY601)-SUM(OFFSET(INDEX(MO_CFS_CFI,1,COLUMN()),ROW(INDEX(MO_SubSection_CFS_CFI,1,COLUMN()))-ROW(INDEX(MO_CFS_CFI,1,COLUMN())),0,ROW(INDEX(MO_CFS_CFI,1,COLUMN()))-ROW(INDEX(MO_SubSection_CFS_CFI,1,COLUMN())),1)),6)</f>
        <v>0</v>
      </c>
      <c r="BA692" s="137"/>
      <c r="BB692" s="137"/>
      <c r="BC692" s="137"/>
      <c r="BD692" s="137"/>
      <c r="BE692" s="137">
        <f ca="1">ROUND(SUM(BA601,BB601,BC601,BD601)-SUM(OFFSET(INDEX(MO_CFS_CFI,1,COLUMN()),ROW(INDEX(MO_SubSection_CFS_CFI,1,COLUMN()))-ROW(INDEX(MO_CFS_CFI,1,COLUMN())),0,ROW(INDEX(MO_CFS_CFI,1,COLUMN()))-ROW(INDEX(MO_SubSection_CFS_CFI,1,COLUMN())),1)),6)</f>
        <v>0</v>
      </c>
      <c r="BF692" s="137"/>
      <c r="BG692" s="137"/>
      <c r="BH692" s="555"/>
      <c r="BI692" s="137"/>
      <c r="BJ692" s="137"/>
      <c r="BK692" s="137"/>
      <c r="BL692" s="137"/>
      <c r="BM692" s="137"/>
      <c r="BN692" s="137"/>
      <c r="BO692" s="137"/>
      <c r="BP692" s="137"/>
      <c r="BQ692" s="137"/>
      <c r="BR692" s="137"/>
      <c r="BS692" s="833"/>
    </row>
    <row r="693" spans="1:71" s="24" customFormat="1" ht="15">
      <c r="A693" s="833" t="s">
        <v>288</v>
      </c>
      <c r="B693" s="430"/>
      <c r="C693" s="137"/>
      <c r="D693" s="137"/>
      <c r="E693" s="137"/>
      <c r="F693" s="137"/>
      <c r="G693" s="137"/>
      <c r="H693" s="137"/>
      <c r="I693" s="137"/>
      <c r="J693" s="137"/>
      <c r="K693" s="137"/>
      <c r="L693" s="137">
        <f ca="1">ROUND(SUM(H611,I611,J611,K611)-SUM(OFFSET(INDEX(MO_CFS_CFF,1,COLUMN()),ROW(INDEX(MO_SubSection_CFS_CFF,1,COLUMN()))-ROW(INDEX(MO_CFS_CFF,1,COLUMN())),0,ROW(INDEX(MO_CFS_CFF,1,COLUMN()))-ROW(INDEX(MO_SubSection_CFS_CFF,1,COLUMN())),1)),6)</f>
        <v>0</v>
      </c>
      <c r="M693" s="137"/>
      <c r="N693" s="137"/>
      <c r="O693" s="137"/>
      <c r="P693" s="137"/>
      <c r="Q693" s="137">
        <f ca="1">ROUND(SUM(M611,N611,O611,P611)-SUM(OFFSET(INDEX(MO_CFS_CFF,1,COLUMN()),ROW(INDEX(MO_SubSection_CFS_CFF,1,COLUMN()))-ROW(INDEX(MO_CFS_CFF,1,COLUMN())),0,ROW(INDEX(MO_CFS_CFF,1,COLUMN()))-ROW(INDEX(MO_SubSection_CFS_CFF,1,COLUMN())),1)),6)</f>
        <v>0</v>
      </c>
      <c r="R693" s="137"/>
      <c r="S693" s="137"/>
      <c r="T693" s="137"/>
      <c r="U693" s="137"/>
      <c r="V693" s="137">
        <f ca="1">ROUND(SUM(R611,S611,T611,U611)-SUM(OFFSET(INDEX(MO_CFS_CFF,1,COLUMN()),ROW(INDEX(MO_SubSection_CFS_CFF,1,COLUMN()))-ROW(INDEX(MO_CFS_CFF,1,COLUMN())),0,ROW(INDEX(MO_CFS_CFF,1,COLUMN()))-ROW(INDEX(MO_SubSection_CFS_CFF,1,COLUMN())),1)),6)</f>
        <v>0</v>
      </c>
      <c r="W693" s="137"/>
      <c r="X693" s="137"/>
      <c r="Y693" s="137"/>
      <c r="Z693" s="137"/>
      <c r="AA693" s="137">
        <f ca="1">ROUND(SUM(W611,X611,Y611,Z611)-SUM(OFFSET(INDEX(MO_CFS_CFF,1,COLUMN()),ROW(INDEX(MO_SubSection_CFS_CFF,1,COLUMN()))-ROW(INDEX(MO_CFS_CFF,1,COLUMN())),0,ROW(INDEX(MO_CFS_CFF,1,COLUMN()))-ROW(INDEX(MO_SubSection_CFS_CFF,1,COLUMN())),1)),6)</f>
        <v>0</v>
      </c>
      <c r="AB693" s="137"/>
      <c r="AC693" s="137"/>
      <c r="AD693" s="137"/>
      <c r="AE693" s="137"/>
      <c r="AF693" s="137">
        <f ca="1">ROUND(SUM(AB611,AC611,AD611,AE611)-SUM(OFFSET(INDEX(MO_CFS_CFF,1,COLUMN()),ROW(INDEX(MO_SubSection_CFS_CFF,1,COLUMN()))-ROW(INDEX(MO_CFS_CFF,1,COLUMN())),0,ROW(INDEX(MO_CFS_CFF,1,COLUMN()))-ROW(INDEX(MO_SubSection_CFS_CFF,1,COLUMN())),1)),6)</f>
        <v>0</v>
      </c>
      <c r="AG693" s="137"/>
      <c r="AH693" s="137"/>
      <c r="AI693" s="137"/>
      <c r="AJ693" s="137"/>
      <c r="AK693" s="137">
        <f ca="1">ROUND(SUM(AG611,AH611,AI611,AJ611)-SUM(OFFSET(INDEX(MO_CFS_CFF,1,COLUMN()),ROW(INDEX(MO_SubSection_CFS_CFF,1,COLUMN()))-ROW(INDEX(MO_CFS_CFF,1,COLUMN())),0,ROW(INDEX(MO_CFS_CFF,1,COLUMN()))-ROW(INDEX(MO_SubSection_CFS_CFF,1,COLUMN())),1)),6)</f>
        <v>0</v>
      </c>
      <c r="AL693" s="137"/>
      <c r="AM693" s="137"/>
      <c r="AN693" s="137"/>
      <c r="AO693" s="137"/>
      <c r="AP693" s="137">
        <f ca="1">ROUND(SUM(AL611,AM611,AN611,AO611)-SUM(OFFSET(INDEX(MO_CFS_CFF,1,COLUMN()),ROW(INDEX(MO_SubSection_CFS_CFF,1,COLUMN()))-ROW(INDEX(MO_CFS_CFF,1,COLUMN())),0,ROW(INDEX(MO_CFS_CFF,1,COLUMN()))-ROW(INDEX(MO_SubSection_CFS_CFF,1,COLUMN())),1)),6)</f>
        <v>0</v>
      </c>
      <c r="AQ693" s="137"/>
      <c r="AR693" s="137"/>
      <c r="AS693" s="137"/>
      <c r="AT693" s="137"/>
      <c r="AU693" s="137">
        <f ca="1">ROUND(SUM(AQ611,AR611,AS611,AT611)-SUM(OFFSET(INDEX(MO_CFS_CFF,1,COLUMN()),ROW(INDEX(MO_SubSection_CFS_CFF,1,COLUMN()))-ROW(INDEX(MO_CFS_CFF,1,COLUMN())),0,ROW(INDEX(MO_CFS_CFF,1,COLUMN()))-ROW(INDEX(MO_SubSection_CFS_CFF,1,COLUMN())),1)),6)</f>
        <v>0</v>
      </c>
      <c r="AV693" s="137"/>
      <c r="AW693" s="137"/>
      <c r="AX693" s="137"/>
      <c r="AY693" s="137"/>
      <c r="AZ693" s="137">
        <f ca="1">ROUND(SUM(AV611,AW611,AX611,AY611)-SUM(OFFSET(INDEX(MO_CFS_CFF,1,COLUMN()),ROW(INDEX(MO_SubSection_CFS_CFF,1,COLUMN()))-ROW(INDEX(MO_CFS_CFF,1,COLUMN())),0,ROW(INDEX(MO_CFS_CFF,1,COLUMN()))-ROW(INDEX(MO_SubSection_CFS_CFF,1,COLUMN())),1)),6)</f>
        <v>0</v>
      </c>
      <c r="BA693" s="137"/>
      <c r="BB693" s="137"/>
      <c r="BC693" s="137"/>
      <c r="BD693" s="137"/>
      <c r="BE693" s="137">
        <f ca="1">ROUND(SUM(BA611,BB611,BC611,BD611)-SUM(OFFSET(INDEX(MO_CFS_CFF,1,COLUMN()),ROW(INDEX(MO_SubSection_CFS_CFF,1,COLUMN()))-ROW(INDEX(MO_CFS_CFF,1,COLUMN())),0,ROW(INDEX(MO_CFS_CFF,1,COLUMN()))-ROW(INDEX(MO_SubSection_CFS_CFF,1,COLUMN())),1)),6)</f>
        <v>0</v>
      </c>
      <c r="BF693" s="137"/>
      <c r="BG693" s="137"/>
      <c r="BH693" s="555"/>
      <c r="BI693" s="137"/>
      <c r="BJ693" s="137"/>
      <c r="BK693" s="137"/>
      <c r="BL693" s="137"/>
      <c r="BM693" s="137"/>
      <c r="BN693" s="137"/>
      <c r="BO693" s="137"/>
      <c r="BP693" s="137"/>
      <c r="BQ693" s="137"/>
      <c r="BR693" s="137"/>
      <c r="BS693" s="833"/>
    </row>
    <row r="694" spans="1:71" s="24" customFormat="1" ht="15">
      <c r="A694" s="828"/>
      <c r="B694" s="828"/>
      <c r="C694" s="857"/>
      <c r="D694" s="857"/>
      <c r="E694" s="857"/>
      <c r="F694" s="857"/>
      <c r="G694" s="857"/>
      <c r="H694" s="857"/>
      <c r="I694" s="857"/>
      <c r="J694" s="857"/>
      <c r="K694" s="857"/>
      <c r="L694" s="857"/>
      <c r="M694" s="857"/>
      <c r="N694" s="857"/>
      <c r="O694" s="857"/>
      <c r="P694" s="857"/>
      <c r="Q694" s="857"/>
      <c r="R694" s="857"/>
      <c r="S694" s="857"/>
      <c r="T694" s="857"/>
      <c r="U694" s="857"/>
      <c r="V694" s="857"/>
      <c r="W694" s="857"/>
      <c r="X694" s="857"/>
      <c r="Y694" s="857"/>
      <c r="Z694" s="857"/>
      <c r="AA694" s="857"/>
      <c r="AB694" s="857"/>
      <c r="AC694" s="857"/>
      <c r="AD694" s="857"/>
      <c r="AE694" s="857"/>
      <c r="AF694" s="857"/>
      <c r="AG694" s="857"/>
      <c r="AH694" s="857"/>
      <c r="AI694" s="857"/>
      <c r="AJ694" s="857"/>
      <c r="AK694" s="857"/>
      <c r="AL694" s="857"/>
      <c r="AM694" s="857"/>
      <c r="AN694" s="857"/>
      <c r="AO694" s="857"/>
      <c r="AP694" s="857"/>
      <c r="AQ694" s="857"/>
      <c r="AR694" s="857"/>
      <c r="AS694" s="857"/>
      <c r="AT694" s="857"/>
      <c r="AU694" s="857"/>
      <c r="AV694" s="857"/>
      <c r="AW694" s="857"/>
      <c r="AX694" s="857"/>
      <c r="AY694" s="857"/>
      <c r="AZ694" s="857"/>
      <c r="BA694" s="857"/>
      <c r="BB694" s="857"/>
      <c r="BC694" s="857"/>
      <c r="BD694" s="857"/>
      <c r="BE694" s="857"/>
      <c r="BF694" s="857"/>
      <c r="BG694" s="857"/>
      <c r="BH694" s="858"/>
      <c r="BI694" s="857"/>
      <c r="BJ694" s="857"/>
      <c r="BK694" s="857"/>
      <c r="BL694" s="857"/>
      <c r="BM694" s="857"/>
      <c r="BN694" s="857"/>
      <c r="BO694" s="857"/>
      <c r="BP694" s="857"/>
      <c r="BQ694" s="857"/>
      <c r="BR694" s="857"/>
      <c r="BS694" s="833"/>
    </row>
    <row r="695" spans="1:71" s="181" customFormat="1" ht="15">
      <c r="A695" s="834" t="s">
        <v>289</v>
      </c>
      <c r="B695" s="834"/>
      <c r="C695" s="834"/>
      <c r="D695" s="834"/>
      <c r="E695" s="834"/>
      <c r="F695" s="834"/>
      <c r="G695" s="834"/>
      <c r="H695" s="834"/>
      <c r="I695" s="834"/>
      <c r="J695" s="834"/>
      <c r="K695" s="834"/>
      <c r="L695" s="834"/>
      <c r="M695" s="834"/>
      <c r="N695" s="834"/>
      <c r="O695" s="834"/>
      <c r="P695" s="834"/>
      <c r="Q695" s="834"/>
      <c r="R695" s="834"/>
      <c r="S695" s="834"/>
      <c r="T695" s="834"/>
      <c r="U695" s="834"/>
      <c r="V695" s="834"/>
      <c r="W695" s="834"/>
      <c r="X695" s="834"/>
      <c r="Y695" s="834"/>
      <c r="Z695" s="834"/>
      <c r="AA695" s="834"/>
      <c r="AB695" s="834"/>
      <c r="AC695" s="834"/>
      <c r="AD695" s="834"/>
      <c r="AE695" s="834"/>
      <c r="AF695" s="834"/>
      <c r="AG695" s="834"/>
      <c r="AH695" s="834"/>
      <c r="AI695" s="834"/>
      <c r="AJ695" s="834"/>
      <c r="AK695" s="834"/>
      <c r="AL695" s="834"/>
      <c r="AM695" s="834"/>
      <c r="AN695" s="834"/>
      <c r="AO695" s="834"/>
      <c r="AP695" s="834"/>
      <c r="AQ695" s="834"/>
      <c r="AR695" s="834"/>
      <c r="AS695" s="834"/>
      <c r="AT695" s="834"/>
      <c r="AU695" s="834"/>
      <c r="AV695" s="834"/>
      <c r="AW695" s="834"/>
      <c r="AX695" s="834"/>
      <c r="AY695" s="834"/>
      <c r="AZ695" s="834"/>
      <c r="BA695" s="834"/>
      <c r="BB695" s="834"/>
      <c r="BC695" s="834"/>
      <c r="BD695" s="834"/>
      <c r="BE695" s="834"/>
      <c r="BF695" s="834"/>
      <c r="BG695" s="834"/>
      <c r="BH695" s="835"/>
      <c r="BI695" s="834"/>
      <c r="BJ695" s="834"/>
      <c r="BK695" s="834"/>
      <c r="BL695" s="834"/>
      <c r="BM695" s="834"/>
      <c r="BN695" s="834"/>
      <c r="BO695" s="834"/>
      <c r="BP695" s="834"/>
      <c r="BQ695" s="834"/>
      <c r="BR695" s="834"/>
      <c r="BS695" s="423"/>
    </row>
    <row r="696" spans="1:71" s="24" customFormat="1" ht="15">
      <c r="A696" s="510"/>
      <c r="B696" s="828"/>
      <c r="C696" s="277"/>
      <c r="D696" s="277"/>
      <c r="E696" s="828"/>
      <c r="F696" s="828"/>
      <c r="G696" s="828"/>
      <c r="H696" s="828"/>
      <c r="I696" s="828"/>
      <c r="J696" s="828"/>
      <c r="K696" s="828"/>
      <c r="L696" s="828"/>
      <c r="M696" s="828"/>
      <c r="N696" s="828"/>
      <c r="O696" s="828"/>
      <c r="P696" s="828"/>
      <c r="Q696" s="828"/>
      <c r="R696" s="828"/>
      <c r="S696" s="828"/>
      <c r="T696" s="828"/>
      <c r="U696" s="828"/>
      <c r="V696" s="828"/>
      <c r="W696" s="828"/>
      <c r="X696" s="828"/>
      <c r="Y696" s="828"/>
      <c r="Z696" s="828"/>
      <c r="AA696" s="828"/>
      <c r="AB696" s="828"/>
      <c r="AC696" s="828"/>
      <c r="AD696" s="828"/>
      <c r="AE696" s="828"/>
      <c r="AF696" s="828"/>
      <c r="AG696" s="828"/>
      <c r="AH696" s="828"/>
      <c r="AI696" s="828"/>
      <c r="AJ696" s="828"/>
      <c r="AK696" s="828"/>
      <c r="AL696" s="828"/>
      <c r="AM696" s="828"/>
      <c r="AN696" s="828"/>
      <c r="AO696" s="828"/>
      <c r="AP696" s="828"/>
      <c r="AQ696" s="828"/>
      <c r="AR696" s="828"/>
      <c r="AS696" s="828"/>
      <c r="AT696" s="828"/>
      <c r="AU696" s="828"/>
      <c r="AV696" s="828"/>
      <c r="AW696" s="828"/>
      <c r="AX696" s="828"/>
      <c r="AY696" s="828"/>
      <c r="AZ696" s="828"/>
      <c r="BA696" s="828"/>
      <c r="BB696" s="828"/>
      <c r="BC696" s="828"/>
      <c r="BD696" s="828"/>
      <c r="BE696" s="828"/>
      <c r="BF696" s="828"/>
      <c r="BG696" s="828"/>
      <c r="BH696" s="829"/>
      <c r="BI696" s="828"/>
      <c r="BJ696" s="828"/>
      <c r="BK696" s="828"/>
      <c r="BL696" s="828"/>
      <c r="BM696" s="828"/>
      <c r="BN696" s="828"/>
      <c r="BO696" s="828"/>
      <c r="BP696" s="828"/>
      <c r="BQ696" s="828"/>
      <c r="BR696" s="828"/>
      <c r="BS696" s="833"/>
    </row>
    <row r="697" spans="1:71" s="45" customFormat="1" ht="15">
      <c r="A697" s="364" t="s">
        <v>290</v>
      </c>
      <c r="B697" s="511"/>
      <c r="C697" s="512"/>
      <c r="D697" s="512"/>
      <c r="E697" s="199"/>
      <c r="F697" s="199"/>
      <c r="G697" s="199"/>
      <c r="H697" s="199"/>
      <c r="I697" s="199"/>
      <c r="J697" s="199"/>
      <c r="K697" s="199"/>
      <c r="L697" s="199"/>
      <c r="M697" s="199"/>
      <c r="N697" s="199"/>
      <c r="O697" s="199"/>
      <c r="P697" s="199"/>
      <c r="Q697" s="199"/>
      <c r="R697" s="199"/>
      <c r="S697" s="199"/>
      <c r="T697" s="199"/>
      <c r="U697" s="199"/>
      <c r="V697" s="199"/>
      <c r="W697" s="199"/>
      <c r="X697" s="199"/>
      <c r="Y697" s="199"/>
      <c r="Z697" s="199"/>
      <c r="AA697" s="199"/>
      <c r="AB697" s="199"/>
      <c r="AC697" s="199"/>
      <c r="AD697" s="199"/>
      <c r="AE697" s="199"/>
      <c r="AF697" s="199"/>
      <c r="AG697" s="199"/>
      <c r="AH697" s="199"/>
      <c r="AI697" s="199"/>
      <c r="AJ697" s="199"/>
      <c r="AK697" s="199"/>
      <c r="AL697" s="199"/>
      <c r="AM697" s="199"/>
      <c r="AN697" s="199"/>
      <c r="AO697" s="199"/>
      <c r="AP697" s="199"/>
      <c r="AQ697" s="199"/>
      <c r="AR697" s="199"/>
      <c r="AS697" s="199"/>
      <c r="AT697" s="199"/>
      <c r="AU697" s="199"/>
      <c r="AV697" s="199"/>
      <c r="AW697" s="199"/>
      <c r="AX697" s="199"/>
      <c r="AY697" s="199"/>
      <c r="AZ697" s="199"/>
      <c r="BA697" s="199"/>
      <c r="BB697" s="199"/>
      <c r="BC697" s="199"/>
      <c r="BD697" s="199"/>
      <c r="BE697" s="199"/>
      <c r="BF697" s="199"/>
      <c r="BG697" s="199"/>
      <c r="BH697" s="554"/>
      <c r="BI697" s="199"/>
      <c r="BJ697" s="199"/>
      <c r="BK697" s="199"/>
      <c r="BL697" s="199"/>
      <c r="BM697" s="199"/>
      <c r="BN697" s="199"/>
      <c r="BO697" s="199"/>
      <c r="BP697" s="199"/>
      <c r="BQ697" s="199"/>
      <c r="BR697" s="199"/>
      <c r="BS697" s="185"/>
    </row>
    <row r="698" spans="1:71" s="45" customFormat="1" ht="15">
      <c r="A698" s="811" t="s">
        <v>579</v>
      </c>
      <c r="B698" s="513"/>
      <c r="C698" s="514"/>
      <c r="D698" s="514"/>
      <c r="E698" s="210"/>
      <c r="F698" s="210"/>
      <c r="G698" s="210"/>
      <c r="H698" s="210"/>
      <c r="I698" s="210"/>
      <c r="J698" s="210"/>
      <c r="K698" s="210"/>
      <c r="L698" s="210"/>
      <c r="M698" s="210"/>
      <c r="N698" s="210"/>
      <c r="O698" s="210"/>
      <c r="P698" s="210"/>
      <c r="Q698" s="210"/>
      <c r="R698" s="210"/>
      <c r="S698" s="210"/>
      <c r="T698" s="210"/>
      <c r="U698" s="210"/>
      <c r="V698" s="210"/>
      <c r="W698" s="210"/>
      <c r="X698" s="210"/>
      <c r="Y698" s="210"/>
      <c r="Z698" s="210"/>
      <c r="AA698" s="210"/>
      <c r="AB698" s="210"/>
      <c r="AC698" s="210"/>
      <c r="AD698" s="210"/>
      <c r="AE698" s="210"/>
      <c r="AF698" s="210"/>
      <c r="AG698" s="210"/>
      <c r="AH698" s="210"/>
      <c r="AI698" s="210"/>
      <c r="AJ698" s="210"/>
      <c r="AK698" s="210"/>
      <c r="AL698" s="210"/>
      <c r="AM698" s="210"/>
      <c r="AN698" s="210"/>
      <c r="AO698" s="210"/>
      <c r="AP698" s="210"/>
      <c r="AQ698" s="210"/>
      <c r="AR698" s="210"/>
      <c r="AS698" s="210"/>
      <c r="AT698" s="210"/>
      <c r="AU698" s="210"/>
      <c r="AV698" s="210"/>
      <c r="AW698" s="210"/>
      <c r="AX698" s="210"/>
      <c r="AY698" s="210"/>
      <c r="AZ698" s="210"/>
      <c r="BA698" s="210"/>
      <c r="BB698" s="210"/>
      <c r="BC698" s="210"/>
      <c r="BD698" s="210"/>
      <c r="BE698" s="210"/>
      <c r="BF698" s="210"/>
      <c r="BG698" s="210"/>
      <c r="BH698" s="553"/>
      <c r="BI698" s="210"/>
      <c r="BJ698" s="210"/>
      <c r="BK698" s="210"/>
      <c r="BL698" s="210"/>
      <c r="BM698" s="210"/>
      <c r="BN698" s="210"/>
      <c r="BO698" s="210"/>
      <c r="BP698" s="210"/>
      <c r="BQ698" s="210"/>
      <c r="BR698" s="210"/>
      <c r="BS698" s="185"/>
    </row>
    <row r="699" spans="1:71" s="261" customFormat="1" ht="15">
      <c r="A699" s="365" t="s">
        <v>291</v>
      </c>
      <c r="B699" s="513"/>
      <c r="C699" s="514"/>
      <c r="D699" s="514"/>
      <c r="E699" s="210"/>
      <c r="F699" s="210"/>
      <c r="G699" s="210"/>
      <c r="H699" s="210"/>
      <c r="I699" s="210"/>
      <c r="J699" s="210"/>
      <c r="K699" s="210"/>
      <c r="L699" s="210"/>
      <c r="M699" s="210"/>
      <c r="N699" s="210"/>
      <c r="O699" s="210"/>
      <c r="P699" s="210"/>
      <c r="Q699" s="210"/>
      <c r="R699" s="210"/>
      <c r="S699" s="210"/>
      <c r="T699" s="210"/>
      <c r="U699" s="210"/>
      <c r="V699" s="210"/>
      <c r="W699" s="210"/>
      <c r="X699" s="210"/>
      <c r="Y699" s="210"/>
      <c r="Z699" s="210"/>
      <c r="AA699" s="210"/>
      <c r="AB699" s="210"/>
      <c r="AC699" s="210"/>
      <c r="AD699" s="210"/>
      <c r="AE699" s="210"/>
      <c r="AF699" s="210"/>
      <c r="AG699" s="210"/>
      <c r="AH699" s="210"/>
      <c r="AI699" s="210"/>
      <c r="AJ699" s="210"/>
      <c r="AK699" s="210"/>
      <c r="AL699" s="210"/>
      <c r="AM699" s="210"/>
      <c r="AN699" s="210"/>
      <c r="AO699" s="210"/>
      <c r="AP699" s="210"/>
      <c r="AQ699" s="210"/>
      <c r="AR699" s="210"/>
      <c r="AS699" s="210"/>
      <c r="AT699" s="210"/>
      <c r="AU699" s="210"/>
      <c r="AV699" s="210"/>
      <c r="AW699" s="210"/>
      <c r="AX699" s="210"/>
      <c r="AY699" s="210"/>
      <c r="AZ699" s="210"/>
      <c r="BA699" s="210"/>
      <c r="BB699" s="210"/>
      <c r="BC699" s="210"/>
      <c r="BD699" s="210"/>
      <c r="BE699" s="210"/>
      <c r="BF699" s="210"/>
      <c r="BG699" s="210"/>
      <c r="BH699" s="553"/>
      <c r="BI699" s="210"/>
      <c r="BJ699" s="210"/>
      <c r="BK699" s="210"/>
      <c r="BL699" s="210"/>
      <c r="BM699" s="210"/>
      <c r="BN699" s="210"/>
      <c r="BO699" s="210"/>
      <c r="BP699" s="210"/>
      <c r="BQ699" s="210"/>
      <c r="BR699" s="210"/>
      <c r="BS699" s="265"/>
    </row>
    <row r="700" spans="1:71" s="261" customFormat="1" ht="15">
      <c r="A700" s="366" t="s">
        <v>292</v>
      </c>
      <c r="B700" s="513"/>
      <c r="C700" s="514"/>
      <c r="D700" s="514"/>
      <c r="E700" s="210"/>
      <c r="F700" s="210"/>
      <c r="G700" s="210"/>
      <c r="H700" s="210"/>
      <c r="I700" s="210"/>
      <c r="J700" s="210"/>
      <c r="K700" s="210"/>
      <c r="L700" s="210"/>
      <c r="M700" s="210"/>
      <c r="N700" s="210"/>
      <c r="O700" s="210"/>
      <c r="P700" s="210"/>
      <c r="Q700" s="210"/>
      <c r="R700" s="210"/>
      <c r="S700" s="210"/>
      <c r="T700" s="210"/>
      <c r="U700" s="210"/>
      <c r="V700" s="210"/>
      <c r="W700" s="210"/>
      <c r="X700" s="210"/>
      <c r="Y700" s="210"/>
      <c r="Z700" s="210"/>
      <c r="AA700" s="210"/>
      <c r="AB700" s="210"/>
      <c r="AC700" s="210"/>
      <c r="AD700" s="210"/>
      <c r="AE700" s="210"/>
      <c r="AF700" s="210"/>
      <c r="AG700" s="210"/>
      <c r="AH700" s="210"/>
      <c r="AI700" s="210"/>
      <c r="AJ700" s="210"/>
      <c r="AK700" s="210"/>
      <c r="AL700" s="210"/>
      <c r="AM700" s="210"/>
      <c r="AN700" s="210"/>
      <c r="AO700" s="210"/>
      <c r="AP700" s="210"/>
      <c r="AQ700" s="210"/>
      <c r="AR700" s="210"/>
      <c r="AS700" s="210"/>
      <c r="AT700" s="210"/>
      <c r="AU700" s="210"/>
      <c r="AV700" s="210"/>
      <c r="AW700" s="210"/>
      <c r="AX700" s="210"/>
      <c r="AY700" s="210"/>
      <c r="AZ700" s="210"/>
      <c r="BA700" s="210"/>
      <c r="BB700" s="210"/>
      <c r="BC700" s="210"/>
      <c r="BD700" s="210"/>
      <c r="BE700" s="210"/>
      <c r="BF700" s="210"/>
      <c r="BG700" s="210"/>
      <c r="BH700" s="553"/>
      <c r="BI700" s="210"/>
      <c r="BJ700" s="210"/>
      <c r="BK700" s="210"/>
      <c r="BL700" s="210"/>
      <c r="BM700" s="210"/>
      <c r="BN700" s="210"/>
      <c r="BO700" s="210"/>
      <c r="BP700" s="210"/>
      <c r="BQ700" s="210"/>
      <c r="BR700" s="210"/>
      <c r="BS700" s="265"/>
    </row>
    <row r="701" spans="1:71" s="261" customFormat="1" ht="15">
      <c r="A701" s="367" t="s">
        <v>293</v>
      </c>
      <c r="B701" s="513"/>
      <c r="C701" s="514"/>
      <c r="D701" s="514"/>
      <c r="E701" s="210"/>
      <c r="F701" s="210"/>
      <c r="G701" s="210"/>
      <c r="H701" s="210"/>
      <c r="I701" s="210"/>
      <c r="J701" s="210"/>
      <c r="K701" s="210"/>
      <c r="L701" s="210"/>
      <c r="M701" s="210"/>
      <c r="N701" s="210"/>
      <c r="O701" s="210"/>
      <c r="P701" s="210"/>
      <c r="Q701" s="210"/>
      <c r="R701" s="210"/>
      <c r="S701" s="210"/>
      <c r="T701" s="210"/>
      <c r="U701" s="210"/>
      <c r="V701" s="210"/>
      <c r="W701" s="210"/>
      <c r="X701" s="210"/>
      <c r="Y701" s="210"/>
      <c r="Z701" s="210"/>
      <c r="AA701" s="210"/>
      <c r="AB701" s="210"/>
      <c r="AC701" s="210"/>
      <c r="AD701" s="210"/>
      <c r="AE701" s="210"/>
      <c r="AF701" s="210"/>
      <c r="AG701" s="210"/>
      <c r="AH701" s="210"/>
      <c r="AI701" s="210"/>
      <c r="AJ701" s="210"/>
      <c r="AK701" s="210"/>
      <c r="AL701" s="210"/>
      <c r="AM701" s="210"/>
      <c r="AN701" s="210"/>
      <c r="AO701" s="210"/>
      <c r="AP701" s="210"/>
      <c r="AQ701" s="210"/>
      <c r="AR701" s="210"/>
      <c r="AS701" s="210"/>
      <c r="AT701" s="210"/>
      <c r="AU701" s="210"/>
      <c r="AV701" s="210"/>
      <c r="AW701" s="210"/>
      <c r="AX701" s="210"/>
      <c r="AY701" s="210"/>
      <c r="AZ701" s="210"/>
      <c r="BA701" s="210"/>
      <c r="BB701" s="210"/>
      <c r="BC701" s="210"/>
      <c r="BD701" s="210"/>
      <c r="BE701" s="210"/>
      <c r="BF701" s="210"/>
      <c r="BG701" s="210"/>
      <c r="BH701" s="553"/>
      <c r="BI701" s="210"/>
      <c r="BJ701" s="210"/>
      <c r="BK701" s="210"/>
      <c r="BL701" s="210"/>
      <c r="BM701" s="210"/>
      <c r="BN701" s="210"/>
      <c r="BO701" s="210"/>
      <c r="BP701" s="210"/>
      <c r="BQ701" s="210"/>
      <c r="BR701" s="210"/>
      <c r="BS701" s="265"/>
    </row>
    <row r="702" spans="1:71" s="261" customFormat="1" ht="15">
      <c r="A702" s="422" t="s">
        <v>294</v>
      </c>
      <c r="B702" s="513"/>
      <c r="C702" s="514"/>
      <c r="D702" s="514"/>
      <c r="E702" s="210"/>
      <c r="F702" s="210"/>
      <c r="G702" s="210"/>
      <c r="H702" s="210"/>
      <c r="I702" s="210"/>
      <c r="J702" s="210"/>
      <c r="K702" s="210"/>
      <c r="L702" s="210"/>
      <c r="M702" s="210"/>
      <c r="N702" s="210"/>
      <c r="O702" s="210"/>
      <c r="P702" s="210"/>
      <c r="Q702" s="210"/>
      <c r="R702" s="210"/>
      <c r="S702" s="210"/>
      <c r="T702" s="210"/>
      <c r="U702" s="210"/>
      <c r="V702" s="210"/>
      <c r="W702" s="210"/>
      <c r="X702" s="210"/>
      <c r="Y702" s="210"/>
      <c r="Z702" s="210"/>
      <c r="AA702" s="210"/>
      <c r="AB702" s="210"/>
      <c r="AC702" s="210"/>
      <c r="AD702" s="210"/>
      <c r="AE702" s="210"/>
      <c r="AF702" s="210"/>
      <c r="AG702" s="210"/>
      <c r="AH702" s="210"/>
      <c r="AI702" s="210"/>
      <c r="AJ702" s="210"/>
      <c r="AK702" s="210"/>
      <c r="AL702" s="210"/>
      <c r="AM702" s="210"/>
      <c r="AN702" s="210"/>
      <c r="AO702" s="210"/>
      <c r="AP702" s="210"/>
      <c r="AQ702" s="210"/>
      <c r="AR702" s="210"/>
      <c r="AS702" s="210"/>
      <c r="AT702" s="210"/>
      <c r="AU702" s="210"/>
      <c r="AV702" s="210"/>
      <c r="AW702" s="210"/>
      <c r="AX702" s="210"/>
      <c r="AY702" s="210"/>
      <c r="AZ702" s="210"/>
      <c r="BA702" s="210"/>
      <c r="BB702" s="210"/>
      <c r="BC702" s="210"/>
      <c r="BD702" s="210"/>
      <c r="BE702" s="210"/>
      <c r="BF702" s="210"/>
      <c r="BG702" s="210"/>
      <c r="BH702" s="553"/>
      <c r="BI702" s="210"/>
      <c r="BJ702" s="210"/>
      <c r="BK702" s="210"/>
      <c r="BL702" s="210"/>
      <c r="BM702" s="210"/>
      <c r="BN702" s="210"/>
      <c r="BO702" s="210"/>
      <c r="BP702" s="210"/>
      <c r="BQ702" s="210"/>
      <c r="BR702" s="210"/>
      <c r="BS702" s="265"/>
    </row>
    <row r="703" spans="1:71" s="261" customFormat="1" ht="15">
      <c r="A703" s="346"/>
      <c r="B703" s="515"/>
      <c r="C703" s="514"/>
      <c r="D703" s="514"/>
      <c r="E703" s="210"/>
      <c r="F703" s="210"/>
      <c r="G703" s="210"/>
      <c r="H703" s="210"/>
      <c r="I703" s="210"/>
      <c r="J703" s="210"/>
      <c r="K703" s="210"/>
      <c r="L703" s="210"/>
      <c r="M703" s="210"/>
      <c r="N703" s="210"/>
      <c r="O703" s="210"/>
      <c r="P703" s="210"/>
      <c r="Q703" s="210"/>
      <c r="R703" s="210"/>
      <c r="S703" s="210"/>
      <c r="T703" s="210"/>
      <c r="U703" s="210"/>
      <c r="V703" s="210"/>
      <c r="W703" s="210"/>
      <c r="X703" s="210"/>
      <c r="Y703" s="210"/>
      <c r="Z703" s="210"/>
      <c r="AA703" s="210"/>
      <c r="AB703" s="210"/>
      <c r="AC703" s="210"/>
      <c r="AD703" s="210"/>
      <c r="AE703" s="210"/>
      <c r="AF703" s="210"/>
      <c r="AG703" s="210"/>
      <c r="AH703" s="210"/>
      <c r="AI703" s="210"/>
      <c r="AJ703" s="210"/>
      <c r="AK703" s="210"/>
      <c r="AL703" s="210"/>
      <c r="AM703" s="210"/>
      <c r="AN703" s="210"/>
      <c r="AO703" s="210"/>
      <c r="AP703" s="210"/>
      <c r="AQ703" s="210"/>
      <c r="AR703" s="210"/>
      <c r="AS703" s="210"/>
      <c r="AT703" s="210"/>
      <c r="AU703" s="210"/>
      <c r="AV703" s="210"/>
      <c r="AW703" s="210"/>
      <c r="AX703" s="210"/>
      <c r="AY703" s="210"/>
      <c r="AZ703" s="210"/>
      <c r="BA703" s="210"/>
      <c r="BB703" s="210"/>
      <c r="BC703" s="210"/>
      <c r="BD703" s="210"/>
      <c r="BE703" s="210"/>
      <c r="BF703" s="210"/>
      <c r="BG703" s="210"/>
      <c r="BH703" s="553"/>
      <c r="BI703" s="210"/>
      <c r="BJ703" s="210"/>
      <c r="BK703" s="210"/>
      <c r="BL703" s="210"/>
      <c r="BM703" s="210"/>
      <c r="BN703" s="210"/>
      <c r="BO703" s="210"/>
      <c r="BP703" s="210"/>
      <c r="BQ703" s="210"/>
      <c r="BR703" s="210"/>
      <c r="BS703" s="265"/>
    </row>
    <row r="704" spans="1:71" s="38" customFormat="1" ht="15">
      <c r="A704" s="368" t="s">
        <v>295</v>
      </c>
      <c r="B704" s="549"/>
      <c r="C704" s="516"/>
      <c r="D704" s="516"/>
      <c r="E704" s="516"/>
      <c r="F704" s="516"/>
      <c r="G704" s="516"/>
      <c r="H704" s="516"/>
      <c r="I704" s="516"/>
      <c r="J704" s="516"/>
      <c r="K704" s="516"/>
      <c r="L704" s="516"/>
      <c r="M704" s="516"/>
      <c r="N704" s="516"/>
      <c r="O704" s="516"/>
      <c r="P704" s="516"/>
      <c r="Q704" s="516"/>
      <c r="R704" s="516"/>
      <c r="S704" s="516"/>
      <c r="T704" s="516"/>
      <c r="U704" s="516"/>
      <c r="V704" s="516"/>
      <c r="W704" s="516"/>
      <c r="X704" s="516"/>
      <c r="Y704" s="516"/>
      <c r="Z704" s="516"/>
      <c r="AA704" s="516"/>
      <c r="AB704" s="516"/>
      <c r="AC704" s="516"/>
      <c r="AD704" s="516"/>
      <c r="AE704" s="516"/>
      <c r="AF704" s="516"/>
      <c r="AG704" s="516"/>
      <c r="AH704" s="516"/>
      <c r="AI704" s="516"/>
      <c r="AJ704" s="516"/>
      <c r="AK704" s="516"/>
      <c r="AL704" s="516"/>
      <c r="AM704" s="516"/>
      <c r="AN704" s="516"/>
      <c r="AO704" s="516"/>
      <c r="AP704" s="516"/>
      <c r="AQ704" s="516"/>
      <c r="AR704" s="516"/>
      <c r="AS704" s="516"/>
      <c r="AT704" s="516"/>
      <c r="AU704" s="516"/>
      <c r="AV704" s="516"/>
      <c r="AW704" s="516"/>
      <c r="AX704" s="516"/>
      <c r="AY704" s="516"/>
      <c r="AZ704" s="516"/>
      <c r="BA704" s="516"/>
      <c r="BB704" s="516"/>
      <c r="BC704" s="516"/>
      <c r="BD704" s="516"/>
      <c r="BE704" s="516"/>
      <c r="BF704" s="516"/>
      <c r="BG704" s="516"/>
      <c r="BH704" s="556"/>
      <c r="BI704" s="516"/>
      <c r="BJ704" s="516"/>
      <c r="BK704" s="516"/>
      <c r="BL704" s="516"/>
      <c r="BM704" s="516"/>
      <c r="BN704" s="516"/>
      <c r="BO704" s="516"/>
      <c r="BP704" s="516"/>
      <c r="BQ704" s="516"/>
      <c r="BR704" s="516"/>
      <c r="BS704" s="268"/>
    </row>
    <row r="705" spans="1:71" s="261" customFormat="1" ht="15">
      <c r="A705" s="362" t="s">
        <v>296</v>
      </c>
      <c r="B705" s="963">
        <v>1</v>
      </c>
      <c r="C705" s="210"/>
      <c r="D705" s="514"/>
      <c r="E705" s="210"/>
      <c r="F705" s="210"/>
      <c r="G705" s="210"/>
      <c r="H705" s="210"/>
      <c r="I705" s="210"/>
      <c r="J705" s="210"/>
      <c r="K705" s="210"/>
      <c r="L705" s="210"/>
      <c r="M705" s="210"/>
      <c r="N705" s="210"/>
      <c r="O705" s="210"/>
      <c r="P705" s="210"/>
      <c r="Q705" s="210"/>
      <c r="R705" s="210"/>
      <c r="S705" s="210"/>
      <c r="T705" s="210"/>
      <c r="U705" s="210"/>
      <c r="V705" s="210"/>
      <c r="W705" s="210"/>
      <c r="X705" s="210"/>
      <c r="Y705" s="210"/>
      <c r="Z705" s="210"/>
      <c r="AA705" s="210"/>
      <c r="AB705" s="210"/>
      <c r="AC705" s="210"/>
      <c r="AD705" s="210"/>
      <c r="AE705" s="210"/>
      <c r="AF705" s="210"/>
      <c r="AG705" s="210"/>
      <c r="AH705" s="210"/>
      <c r="AI705" s="210"/>
      <c r="AJ705" s="210"/>
      <c r="AK705" s="210"/>
      <c r="AL705" s="210"/>
      <c r="AM705" s="210"/>
      <c r="AN705" s="210"/>
      <c r="AO705" s="210"/>
      <c r="AP705" s="210"/>
      <c r="AQ705" s="210"/>
      <c r="AR705" s="210"/>
      <c r="AS705" s="210"/>
      <c r="AT705" s="210"/>
      <c r="AU705" s="210"/>
      <c r="AV705" s="210"/>
      <c r="AW705" s="210"/>
      <c r="AX705" s="210"/>
      <c r="AY705" s="210"/>
      <c r="AZ705" s="210"/>
      <c r="BA705" s="210"/>
      <c r="BB705" s="210"/>
      <c r="BC705" s="210"/>
      <c r="BD705" s="210"/>
      <c r="BE705" s="210"/>
      <c r="BF705" s="210"/>
      <c r="BG705" s="210"/>
      <c r="BH705" s="553"/>
      <c r="BI705" s="210"/>
      <c r="BJ705" s="210"/>
      <c r="BK705" s="210"/>
      <c r="BL705" s="210"/>
      <c r="BM705" s="210"/>
      <c r="BN705" s="210"/>
      <c r="BO705" s="210"/>
      <c r="BP705" s="210"/>
      <c r="BQ705" s="210"/>
      <c r="BR705" s="210"/>
      <c r="BS705" s="265"/>
    </row>
    <row r="706" spans="1:71" s="261" customFormat="1" ht="15">
      <c r="A706" s="362" t="s">
        <v>297</v>
      </c>
      <c r="B706" s="963">
        <v>2</v>
      </c>
      <c r="C706" s="210"/>
      <c r="D706" s="514"/>
      <c r="E706" s="210"/>
      <c r="F706" s="210"/>
      <c r="G706" s="210"/>
      <c r="H706" s="210"/>
      <c r="I706" s="210"/>
      <c r="J706" s="210"/>
      <c r="K706" s="210"/>
      <c r="L706" s="210"/>
      <c r="M706" s="210"/>
      <c r="N706" s="210"/>
      <c r="O706" s="210"/>
      <c r="P706" s="210"/>
      <c r="Q706" s="210"/>
      <c r="R706" s="210"/>
      <c r="S706" s="210"/>
      <c r="T706" s="210"/>
      <c r="U706" s="210"/>
      <c r="V706" s="210"/>
      <c r="W706" s="210"/>
      <c r="X706" s="210"/>
      <c r="Y706" s="210"/>
      <c r="Z706" s="210"/>
      <c r="AA706" s="210"/>
      <c r="AB706" s="210"/>
      <c r="AC706" s="210"/>
      <c r="AD706" s="210"/>
      <c r="AE706" s="210"/>
      <c r="AF706" s="210"/>
      <c r="AG706" s="210"/>
      <c r="AH706" s="210"/>
      <c r="AI706" s="210"/>
      <c r="AJ706" s="210"/>
      <c r="AK706" s="210"/>
      <c r="AL706" s="210"/>
      <c r="AM706" s="210"/>
      <c r="AN706" s="210"/>
      <c r="AO706" s="210"/>
      <c r="AP706" s="210"/>
      <c r="AQ706" s="210"/>
      <c r="AR706" s="210"/>
      <c r="AS706" s="210"/>
      <c r="AT706" s="210"/>
      <c r="AU706" s="210"/>
      <c r="AV706" s="210"/>
      <c r="AW706" s="210"/>
      <c r="AX706" s="210"/>
      <c r="AY706" s="210"/>
      <c r="AZ706" s="210"/>
      <c r="BA706" s="210"/>
      <c r="BB706" s="210"/>
      <c r="BC706" s="210"/>
      <c r="BD706" s="210"/>
      <c r="BE706" s="210"/>
      <c r="BF706" s="210"/>
      <c r="BG706" s="210"/>
      <c r="BH706" s="553"/>
      <c r="BI706" s="210"/>
      <c r="BJ706" s="210"/>
      <c r="BK706" s="210"/>
      <c r="BL706" s="210"/>
      <c r="BM706" s="210"/>
      <c r="BN706" s="210"/>
      <c r="BO706" s="210"/>
      <c r="BP706" s="210"/>
      <c r="BQ706" s="210"/>
      <c r="BR706" s="210"/>
      <c r="BS706" s="265"/>
    </row>
    <row r="707" spans="1:71" s="261" customFormat="1" ht="15">
      <c r="A707" s="362" t="s">
        <v>186</v>
      </c>
      <c r="B707" s="963">
        <v>3</v>
      </c>
      <c r="C707" s="210"/>
      <c r="D707" s="514"/>
      <c r="E707" s="210"/>
      <c r="F707" s="210"/>
      <c r="G707" s="210"/>
      <c r="H707" s="210"/>
      <c r="I707" s="210"/>
      <c r="J707" s="210"/>
      <c r="K707" s="210"/>
      <c r="L707" s="210"/>
      <c r="M707" s="210"/>
      <c r="N707" s="210"/>
      <c r="O707" s="210"/>
      <c r="P707" s="210"/>
      <c r="Q707" s="210"/>
      <c r="R707" s="210"/>
      <c r="S707" s="210"/>
      <c r="T707" s="210"/>
      <c r="U707" s="210"/>
      <c r="V707" s="210"/>
      <c r="W707" s="210"/>
      <c r="X707" s="210"/>
      <c r="Y707" s="210"/>
      <c r="Z707" s="210"/>
      <c r="AA707" s="210"/>
      <c r="AB707" s="210"/>
      <c r="AC707" s="210"/>
      <c r="AD707" s="210"/>
      <c r="AE707" s="210"/>
      <c r="AF707" s="210"/>
      <c r="AG707" s="210"/>
      <c r="AH707" s="210"/>
      <c r="AI707" s="210"/>
      <c r="AJ707" s="210"/>
      <c r="AK707" s="210"/>
      <c r="AL707" s="210"/>
      <c r="AM707" s="210"/>
      <c r="AN707" s="210"/>
      <c r="AO707" s="210"/>
      <c r="AP707" s="210"/>
      <c r="AQ707" s="210"/>
      <c r="AR707" s="210"/>
      <c r="AS707" s="210"/>
      <c r="AT707" s="210"/>
      <c r="AU707" s="210"/>
      <c r="AV707" s="210"/>
      <c r="AW707" s="210"/>
      <c r="AX707" s="210"/>
      <c r="AY707" s="210"/>
      <c r="AZ707" s="210"/>
      <c r="BA707" s="210"/>
      <c r="BB707" s="210"/>
      <c r="BC707" s="210"/>
      <c r="BD707" s="210"/>
      <c r="BE707" s="210"/>
      <c r="BF707" s="210"/>
      <c r="BG707" s="210"/>
      <c r="BH707" s="553"/>
      <c r="BI707" s="210"/>
      <c r="BJ707" s="210"/>
      <c r="BK707" s="210"/>
      <c r="BL707" s="210"/>
      <c r="BM707" s="210"/>
      <c r="BN707" s="210"/>
      <c r="BO707" s="210"/>
      <c r="BP707" s="210"/>
      <c r="BQ707" s="210"/>
      <c r="BR707" s="210"/>
      <c r="BS707" s="265"/>
    </row>
    <row r="708" spans="1:71" s="261" customFormat="1" ht="15">
      <c r="A708" s="363" t="s">
        <v>609</v>
      </c>
      <c r="B708" s="964">
        <v>4</v>
      </c>
      <c r="C708" s="210"/>
      <c r="D708" s="514"/>
      <c r="E708" s="210"/>
      <c r="F708" s="210"/>
      <c r="G708" s="210"/>
      <c r="H708" s="210"/>
      <c r="I708" s="210"/>
      <c r="J708" s="210"/>
      <c r="K708" s="210"/>
      <c r="L708" s="210"/>
      <c r="M708" s="210"/>
      <c r="N708" s="210"/>
      <c r="O708" s="210"/>
      <c r="P708" s="210"/>
      <c r="Q708" s="210"/>
      <c r="R708" s="210"/>
      <c r="S708" s="210"/>
      <c r="T708" s="210"/>
      <c r="U708" s="210"/>
      <c r="V708" s="210"/>
      <c r="W708" s="210"/>
      <c r="X708" s="210"/>
      <c r="Y708" s="210"/>
      <c r="Z708" s="210"/>
      <c r="AA708" s="210"/>
      <c r="AB708" s="210"/>
      <c r="AC708" s="210"/>
      <c r="AD708" s="210"/>
      <c r="AE708" s="210"/>
      <c r="AF708" s="210"/>
      <c r="AG708" s="210"/>
      <c r="AH708" s="210"/>
      <c r="AI708" s="210"/>
      <c r="AJ708" s="210"/>
      <c r="AK708" s="210"/>
      <c r="AL708" s="210"/>
      <c r="AM708" s="210"/>
      <c r="AN708" s="210"/>
      <c r="AO708" s="210"/>
      <c r="AP708" s="210"/>
      <c r="AQ708" s="210"/>
      <c r="AR708" s="210"/>
      <c r="AS708" s="210"/>
      <c r="AT708" s="210"/>
      <c r="AU708" s="210"/>
      <c r="AV708" s="210"/>
      <c r="AW708" s="210"/>
      <c r="AX708" s="210"/>
      <c r="AY708" s="210"/>
      <c r="AZ708" s="210"/>
      <c r="BA708" s="210"/>
      <c r="BB708" s="210"/>
      <c r="BC708" s="210"/>
      <c r="BD708" s="210"/>
      <c r="BE708" s="210"/>
      <c r="BF708" s="210"/>
      <c r="BG708" s="210"/>
      <c r="BH708" s="553"/>
      <c r="BI708" s="210"/>
      <c r="BJ708" s="210"/>
      <c r="BK708" s="210"/>
      <c r="BL708" s="210"/>
      <c r="BM708" s="210"/>
      <c r="BN708" s="210"/>
      <c r="BO708" s="210"/>
      <c r="BP708" s="210"/>
      <c r="BQ708" s="210"/>
      <c r="BR708" s="210"/>
      <c r="BS708" s="265"/>
    </row>
    <row r="709" spans="1:71" s="261" customFormat="1" ht="15">
      <c r="A709" s="517"/>
      <c r="B709" s="518"/>
      <c r="C709" s="514"/>
      <c r="D709" s="514"/>
      <c r="E709" s="210"/>
      <c r="F709" s="210"/>
      <c r="G709" s="210"/>
      <c r="H709" s="210"/>
      <c r="I709" s="210"/>
      <c r="J709" s="210"/>
      <c r="K709" s="210"/>
      <c r="L709" s="210"/>
      <c r="M709" s="210"/>
      <c r="N709" s="210"/>
      <c r="O709" s="210"/>
      <c r="P709" s="210"/>
      <c r="Q709" s="210"/>
      <c r="R709" s="210"/>
      <c r="S709" s="210"/>
      <c r="T709" s="210"/>
      <c r="U709" s="210"/>
      <c r="V709" s="210"/>
      <c r="W709" s="210"/>
      <c r="X709" s="210"/>
      <c r="Y709" s="210"/>
      <c r="Z709" s="210"/>
      <c r="AA709" s="210"/>
      <c r="AB709" s="210"/>
      <c r="AC709" s="210"/>
      <c r="AD709" s="210"/>
      <c r="AE709" s="210"/>
      <c r="AF709" s="210"/>
      <c r="AG709" s="210"/>
      <c r="AH709" s="210"/>
      <c r="AI709" s="210"/>
      <c r="AJ709" s="210"/>
      <c r="AK709" s="210"/>
      <c r="AL709" s="210"/>
      <c r="AM709" s="210"/>
      <c r="AN709" s="210"/>
      <c r="AO709" s="210"/>
      <c r="AP709" s="210"/>
      <c r="AQ709" s="210"/>
      <c r="AR709" s="210"/>
      <c r="AS709" s="210"/>
      <c r="AT709" s="210"/>
      <c r="AU709" s="210"/>
      <c r="AV709" s="210"/>
      <c r="AW709" s="210"/>
      <c r="AX709" s="210"/>
      <c r="AY709" s="210"/>
      <c r="AZ709" s="210"/>
      <c r="BA709" s="210"/>
      <c r="BB709" s="210"/>
      <c r="BC709" s="210"/>
      <c r="BD709" s="210"/>
      <c r="BE709" s="210"/>
      <c r="BF709" s="210"/>
      <c r="BG709" s="210"/>
      <c r="BH709" s="553"/>
      <c r="BI709" s="210"/>
      <c r="BJ709" s="210"/>
      <c r="BK709" s="210"/>
      <c r="BL709" s="210"/>
      <c r="BM709" s="210"/>
      <c r="BN709" s="210"/>
      <c r="BO709" s="210"/>
      <c r="BP709" s="210"/>
      <c r="BQ709" s="210"/>
      <c r="BR709" s="210"/>
      <c r="BS709" s="265"/>
    </row>
    <row r="710" spans="1:71" s="261" customFormat="1" ht="15">
      <c r="A710" s="385" t="s">
        <v>369</v>
      </c>
      <c r="B710" s="210"/>
      <c r="C710" s="514"/>
      <c r="D710" s="514"/>
      <c r="E710" s="210"/>
      <c r="F710" s="210"/>
      <c r="G710" s="210"/>
      <c r="H710" s="210"/>
      <c r="I710" s="210"/>
      <c r="J710" s="210"/>
      <c r="K710" s="210"/>
      <c r="L710" s="210"/>
      <c r="M710" s="210"/>
      <c r="N710" s="210"/>
      <c r="O710" s="210"/>
      <c r="P710" s="210"/>
      <c r="Q710" s="210"/>
      <c r="R710" s="210"/>
      <c r="S710" s="210"/>
      <c r="T710" s="210"/>
      <c r="U710" s="210"/>
      <c r="V710" s="210"/>
      <c r="W710" s="210"/>
      <c r="X710" s="210"/>
      <c r="Y710" s="210"/>
      <c r="Z710" s="210"/>
      <c r="AA710" s="210"/>
      <c r="AB710" s="210"/>
      <c r="AC710" s="210"/>
      <c r="AD710" s="210"/>
      <c r="AE710" s="210"/>
      <c r="AF710" s="210"/>
      <c r="AG710" s="210"/>
      <c r="AH710" s="210"/>
      <c r="AI710" s="210"/>
      <c r="AJ710" s="210"/>
      <c r="AK710" s="210"/>
      <c r="AL710" s="210"/>
      <c r="AM710" s="210"/>
      <c r="AN710" s="210"/>
      <c r="AO710" s="210"/>
      <c r="AP710" s="210"/>
      <c r="AQ710" s="210"/>
      <c r="AR710" s="210"/>
      <c r="AS710" s="210"/>
      <c r="AT710" s="210"/>
      <c r="AU710" s="210"/>
      <c r="AV710" s="210"/>
      <c r="AW710" s="210"/>
      <c r="AX710" s="210"/>
      <c r="AY710" s="210"/>
      <c r="AZ710" s="210"/>
      <c r="BA710" s="210"/>
      <c r="BB710" s="210"/>
      <c r="BC710" s="210"/>
      <c r="BD710" s="210"/>
      <c r="BE710" s="210"/>
      <c r="BF710" s="210"/>
      <c r="BG710" s="210"/>
      <c r="BH710" s="553"/>
      <c r="BI710" s="210"/>
      <c r="BJ710" s="210"/>
      <c r="BK710" s="210"/>
      <c r="BL710" s="210"/>
      <c r="BM710" s="210"/>
      <c r="BN710" s="210"/>
      <c r="BO710" s="210"/>
      <c r="BP710" s="210"/>
      <c r="BQ710" s="210"/>
      <c r="BR710" s="210"/>
      <c r="BS710" s="265"/>
    </row>
    <row r="711" spans="1:71" s="261" customFormat="1" ht="15">
      <c r="A711" s="386" t="str">
        <f>MO_UR_CombinedRatio</f>
        <v>Total Combined Ratio, %</v>
      </c>
      <c r="B711" s="210"/>
      <c r="C711" s="514"/>
      <c r="D711" s="514"/>
      <c r="E711" s="210"/>
      <c r="F711" s="210"/>
      <c r="G711" s="210"/>
      <c r="H711" s="210"/>
      <c r="I711" s="210"/>
      <c r="J711" s="210"/>
      <c r="K711" s="210"/>
      <c r="L711" s="210"/>
      <c r="M711" s="210"/>
      <c r="N711" s="210"/>
      <c r="O711" s="210"/>
      <c r="P711" s="210"/>
      <c r="Q711" s="210"/>
      <c r="R711" s="210"/>
      <c r="S711" s="210"/>
      <c r="T711" s="210"/>
      <c r="U711" s="210"/>
      <c r="V711" s="210"/>
      <c r="W711" s="210"/>
      <c r="X711" s="210"/>
      <c r="Y711" s="210"/>
      <c r="Z711" s="210"/>
      <c r="AA711" s="210"/>
      <c r="AB711" s="210"/>
      <c r="AC711" s="210"/>
      <c r="AD711" s="210"/>
      <c r="AE711" s="210"/>
      <c r="AF711" s="210"/>
      <c r="AG711" s="210"/>
      <c r="AH711" s="210"/>
      <c r="AI711" s="210"/>
      <c r="AJ711" s="210"/>
      <c r="AK711" s="210"/>
      <c r="AL711" s="210"/>
      <c r="AM711" s="210"/>
      <c r="AN711" s="210"/>
      <c r="AO711" s="210"/>
      <c r="AP711" s="210"/>
      <c r="AQ711" s="210"/>
      <c r="AR711" s="210"/>
      <c r="AS711" s="210"/>
      <c r="AT711" s="210"/>
      <c r="AU711" s="210"/>
      <c r="AV711" s="210"/>
      <c r="AW711" s="210"/>
      <c r="AX711" s="210"/>
      <c r="AY711" s="210"/>
      <c r="AZ711" s="210"/>
      <c r="BA711" s="210"/>
      <c r="BB711" s="210"/>
      <c r="BC711" s="210"/>
      <c r="BD711" s="210"/>
      <c r="BE711" s="210"/>
      <c r="BF711" s="210"/>
      <c r="BG711" s="210"/>
      <c r="BH711" s="553"/>
      <c r="BI711" s="210"/>
      <c r="BJ711" s="210"/>
      <c r="BK711" s="210"/>
      <c r="BL711" s="210"/>
      <c r="BM711" s="210"/>
      <c r="BN711" s="210"/>
      <c r="BO711" s="210"/>
      <c r="BP711" s="210"/>
      <c r="BQ711" s="210"/>
      <c r="BR711" s="210"/>
      <c r="BS711" s="265"/>
    </row>
    <row r="712" spans="1:71" s="261" customFormat="1" ht="15">
      <c r="A712" s="386" t="str">
        <f>MO_RIS_EPS_WAD_Adj</f>
        <v>Core Income Per Share - WAD</v>
      </c>
      <c r="B712" s="210"/>
      <c r="C712" s="514"/>
      <c r="D712" s="514"/>
      <c r="E712" s="210"/>
      <c r="F712" s="210"/>
      <c r="G712" s="210"/>
      <c r="H712" s="210"/>
      <c r="I712" s="210"/>
      <c r="J712" s="210"/>
      <c r="K712" s="210"/>
      <c r="L712" s="210"/>
      <c r="M712" s="210"/>
      <c r="N712" s="210"/>
      <c r="O712" s="210"/>
      <c r="P712" s="210"/>
      <c r="Q712" s="210"/>
      <c r="R712" s="210"/>
      <c r="S712" s="210"/>
      <c r="T712" s="210"/>
      <c r="U712" s="210"/>
      <c r="V712" s="210"/>
      <c r="W712" s="210"/>
      <c r="X712" s="210"/>
      <c r="Y712" s="210"/>
      <c r="Z712" s="210"/>
      <c r="AA712" s="210"/>
      <c r="AB712" s="210"/>
      <c r="AC712" s="210"/>
      <c r="AD712" s="210"/>
      <c r="AE712" s="210"/>
      <c r="AF712" s="210"/>
      <c r="AG712" s="210"/>
      <c r="AH712" s="210"/>
      <c r="AI712" s="210"/>
      <c r="AJ712" s="210"/>
      <c r="AK712" s="210"/>
      <c r="AL712" s="210"/>
      <c r="AM712" s="210"/>
      <c r="AN712" s="210"/>
      <c r="AO712" s="210"/>
      <c r="AP712" s="210"/>
      <c r="AQ712" s="210"/>
      <c r="AR712" s="210"/>
      <c r="AS712" s="210"/>
      <c r="AT712" s="210"/>
      <c r="AU712" s="210"/>
      <c r="AV712" s="210"/>
      <c r="AW712" s="210"/>
      <c r="AX712" s="210"/>
      <c r="AY712" s="210"/>
      <c r="AZ712" s="210"/>
      <c r="BA712" s="210"/>
      <c r="BB712" s="210"/>
      <c r="BC712" s="210"/>
      <c r="BD712" s="210"/>
      <c r="BE712" s="210"/>
      <c r="BF712" s="210"/>
      <c r="BG712" s="210"/>
      <c r="BH712" s="553"/>
      <c r="BI712" s="210"/>
      <c r="BJ712" s="210"/>
      <c r="BK712" s="210"/>
      <c r="BL712" s="210"/>
      <c r="BM712" s="210"/>
      <c r="BN712" s="210"/>
      <c r="BO712" s="210"/>
      <c r="BP712" s="210"/>
      <c r="BQ712" s="210"/>
      <c r="BR712" s="210"/>
      <c r="BS712" s="265"/>
    </row>
    <row r="713" spans="1:71" s="261" customFormat="1" ht="15">
      <c r="A713" s="386" t="str">
        <f>MO_BSS_ROE</f>
        <v>Return on Average Common Equity, %</v>
      </c>
      <c r="B713" s="210"/>
      <c r="C713" s="514"/>
      <c r="D713" s="514"/>
      <c r="E713" s="210"/>
      <c r="F713" s="210"/>
      <c r="G713" s="210"/>
      <c r="H713" s="210"/>
      <c r="I713" s="210"/>
      <c r="J713" s="210"/>
      <c r="K713" s="210"/>
      <c r="L713" s="210"/>
      <c r="M713" s="210"/>
      <c r="N713" s="210"/>
      <c r="O713" s="210"/>
      <c r="P713" s="210"/>
      <c r="Q713" s="210"/>
      <c r="R713" s="210"/>
      <c r="S713" s="210"/>
      <c r="T713" s="210"/>
      <c r="U713" s="210"/>
      <c r="V713" s="210"/>
      <c r="W713" s="210"/>
      <c r="X713" s="210"/>
      <c r="Y713" s="210"/>
      <c r="Z713" s="210"/>
      <c r="AA713" s="210"/>
      <c r="AB713" s="210"/>
      <c r="AC713" s="210"/>
      <c r="AD713" s="210"/>
      <c r="AE713" s="210"/>
      <c r="AF713" s="210"/>
      <c r="AG713" s="210"/>
      <c r="AH713" s="210"/>
      <c r="AI713" s="210"/>
      <c r="AJ713" s="210"/>
      <c r="AK713" s="210"/>
      <c r="AL713" s="210"/>
      <c r="AM713" s="210"/>
      <c r="AN713" s="210"/>
      <c r="AO713" s="210"/>
      <c r="AP713" s="210"/>
      <c r="AQ713" s="210"/>
      <c r="AR713" s="210"/>
      <c r="AS713" s="210"/>
      <c r="AT713" s="210"/>
      <c r="AU713" s="210"/>
      <c r="AV713" s="210"/>
      <c r="AW713" s="210"/>
      <c r="AX713" s="210"/>
      <c r="AY713" s="210"/>
      <c r="AZ713" s="210"/>
      <c r="BA713" s="210"/>
      <c r="BB713" s="210"/>
      <c r="BC713" s="210"/>
      <c r="BD713" s="210"/>
      <c r="BE713" s="210"/>
      <c r="BF713" s="210"/>
      <c r="BG713" s="210"/>
      <c r="BH713" s="553"/>
      <c r="BI713" s="210"/>
      <c r="BJ713" s="210"/>
      <c r="BK713" s="210"/>
      <c r="BL713" s="210"/>
      <c r="BM713" s="210"/>
      <c r="BN713" s="210"/>
      <c r="BO713" s="210"/>
      <c r="BP713" s="210"/>
      <c r="BQ713" s="210"/>
      <c r="BR713" s="210"/>
      <c r="BS713" s="265"/>
    </row>
    <row r="714" spans="1:71" s="261" customFormat="1" ht="15">
      <c r="A714" s="386" t="str">
        <f>MO_BSS_BVPS</f>
        <v>Book Value per Common Share</v>
      </c>
      <c r="B714" s="210"/>
      <c r="C714" s="514"/>
      <c r="D714" s="514"/>
      <c r="E714" s="210"/>
      <c r="F714" s="210"/>
      <c r="G714" s="210"/>
      <c r="H714" s="210"/>
      <c r="I714" s="210"/>
      <c r="J714" s="210"/>
      <c r="K714" s="210"/>
      <c r="L714" s="210"/>
      <c r="M714" s="210"/>
      <c r="N714" s="210"/>
      <c r="O714" s="210"/>
      <c r="P714" s="210"/>
      <c r="Q714" s="210"/>
      <c r="R714" s="210"/>
      <c r="S714" s="210"/>
      <c r="T714" s="210"/>
      <c r="U714" s="210"/>
      <c r="V714" s="210"/>
      <c r="W714" s="210"/>
      <c r="X714" s="210"/>
      <c r="Y714" s="210"/>
      <c r="Z714" s="210"/>
      <c r="AA714" s="210"/>
      <c r="AB714" s="210"/>
      <c r="AC714" s="210"/>
      <c r="AD714" s="210"/>
      <c r="AE714" s="210"/>
      <c r="AF714" s="210"/>
      <c r="AG714" s="210"/>
      <c r="AH714" s="210"/>
      <c r="AI714" s="210"/>
      <c r="AJ714" s="210"/>
      <c r="AK714" s="210"/>
      <c r="AL714" s="210"/>
      <c r="AM714" s="210"/>
      <c r="AN714" s="210"/>
      <c r="AO714" s="210"/>
      <c r="AP714" s="210"/>
      <c r="AQ714" s="210"/>
      <c r="AR714" s="210"/>
      <c r="AS714" s="210"/>
      <c r="AT714" s="210"/>
      <c r="AU714" s="210"/>
      <c r="AV714" s="210"/>
      <c r="AW714" s="210"/>
      <c r="AX714" s="210"/>
      <c r="AY714" s="210"/>
      <c r="AZ714" s="210"/>
      <c r="BA714" s="210"/>
      <c r="BB714" s="210"/>
      <c r="BC714" s="210"/>
      <c r="BD714" s="210"/>
      <c r="BE714" s="210"/>
      <c r="BF714" s="210"/>
      <c r="BG714" s="210"/>
      <c r="BH714" s="553"/>
      <c r="BI714" s="210"/>
      <c r="BJ714" s="210"/>
      <c r="BK714" s="210"/>
      <c r="BL714" s="210"/>
      <c r="BM714" s="210"/>
      <c r="BN714" s="210"/>
      <c r="BO714" s="210"/>
      <c r="BP714" s="210"/>
      <c r="BQ714" s="210"/>
      <c r="BR714" s="210"/>
      <c r="BS714" s="265"/>
    </row>
    <row r="715" spans="1:71" s="261" customFormat="1" ht="15">
      <c r="A715" s="386" t="str">
        <f>MO_VA_P_ToE</f>
        <v>P/E - EoP</v>
      </c>
      <c r="B715" s="210"/>
      <c r="C715" s="514"/>
      <c r="D715" s="514"/>
      <c r="E715" s="210"/>
      <c r="F715" s="210"/>
      <c r="G715" s="210"/>
      <c r="H715" s="210"/>
      <c r="I715" s="210"/>
      <c r="J715" s="210"/>
      <c r="K715" s="210"/>
      <c r="L715" s="210"/>
      <c r="M715" s="210"/>
      <c r="N715" s="210"/>
      <c r="O715" s="210"/>
      <c r="P715" s="210"/>
      <c r="Q715" s="210"/>
      <c r="R715" s="210"/>
      <c r="S715" s="210"/>
      <c r="T715" s="210"/>
      <c r="U715" s="210"/>
      <c r="V715" s="210"/>
      <c r="W715" s="210"/>
      <c r="X715" s="210"/>
      <c r="Y715" s="210"/>
      <c r="Z715" s="210"/>
      <c r="AA715" s="210"/>
      <c r="AB715" s="210"/>
      <c r="AC715" s="210"/>
      <c r="AD715" s="210"/>
      <c r="AE715" s="210"/>
      <c r="AF715" s="210"/>
      <c r="AG715" s="210"/>
      <c r="AH715" s="210"/>
      <c r="AI715" s="210"/>
      <c r="AJ715" s="210"/>
      <c r="AK715" s="210"/>
      <c r="AL715" s="210"/>
      <c r="AM715" s="210"/>
      <c r="AN715" s="210"/>
      <c r="AO715" s="210"/>
      <c r="AP715" s="210"/>
      <c r="AQ715" s="210"/>
      <c r="AR715" s="210"/>
      <c r="AS715" s="210"/>
      <c r="AT715" s="210"/>
      <c r="AU715" s="210"/>
      <c r="AV715" s="210"/>
      <c r="AW715" s="210"/>
      <c r="AX715" s="210"/>
      <c r="AY715" s="210"/>
      <c r="AZ715" s="210"/>
      <c r="BA715" s="210"/>
      <c r="BB715" s="210"/>
      <c r="BC715" s="210"/>
      <c r="BD715" s="210"/>
      <c r="BE715" s="210"/>
      <c r="BF715" s="210"/>
      <c r="BG715" s="210"/>
      <c r="BH715" s="553"/>
      <c r="BI715" s="210"/>
      <c r="BJ715" s="210"/>
      <c r="BK715" s="210"/>
      <c r="BL715" s="210"/>
      <c r="BM715" s="210"/>
      <c r="BN715" s="210"/>
      <c r="BO715" s="210"/>
      <c r="BP715" s="210"/>
      <c r="BQ715" s="210"/>
      <c r="BR715" s="210"/>
      <c r="BS715" s="265"/>
    </row>
    <row r="716" spans="1:71" s="261" customFormat="1" ht="15">
      <c r="A716" s="386" t="str">
        <f>MO_VA_P_ToB</f>
        <v>P/B - EoP</v>
      </c>
      <c r="B716" s="210"/>
      <c r="C716" s="514"/>
      <c r="D716" s="514"/>
      <c r="E716" s="210"/>
      <c r="F716" s="210"/>
      <c r="G716" s="210"/>
      <c r="H716" s="210"/>
      <c r="I716" s="210"/>
      <c r="J716" s="210"/>
      <c r="K716" s="210"/>
      <c r="L716" s="210"/>
      <c r="M716" s="210"/>
      <c r="N716" s="210"/>
      <c r="O716" s="210"/>
      <c r="P716" s="210"/>
      <c r="Q716" s="210"/>
      <c r="R716" s="210"/>
      <c r="S716" s="210"/>
      <c r="T716" s="210"/>
      <c r="U716" s="210"/>
      <c r="V716" s="210"/>
      <c r="W716" s="210"/>
      <c r="X716" s="210"/>
      <c r="Y716" s="210"/>
      <c r="Z716" s="210"/>
      <c r="AA716" s="210"/>
      <c r="AB716" s="210"/>
      <c r="AC716" s="210"/>
      <c r="AD716" s="210"/>
      <c r="AE716" s="210"/>
      <c r="AF716" s="210"/>
      <c r="AG716" s="210"/>
      <c r="AH716" s="210"/>
      <c r="AI716" s="210"/>
      <c r="AJ716" s="210"/>
      <c r="AK716" s="210"/>
      <c r="AL716" s="210"/>
      <c r="AM716" s="210"/>
      <c r="AN716" s="210"/>
      <c r="AO716" s="210"/>
      <c r="AP716" s="210"/>
      <c r="AQ716" s="210"/>
      <c r="AR716" s="210"/>
      <c r="AS716" s="210"/>
      <c r="AT716" s="210"/>
      <c r="AU716" s="210"/>
      <c r="AV716" s="210"/>
      <c r="AW716" s="210"/>
      <c r="AX716" s="210"/>
      <c r="AY716" s="210"/>
      <c r="AZ716" s="210"/>
      <c r="BA716" s="210"/>
      <c r="BB716" s="210"/>
      <c r="BC716" s="210"/>
      <c r="BD716" s="210"/>
      <c r="BE716" s="210"/>
      <c r="BF716" s="210"/>
      <c r="BG716" s="210"/>
      <c r="BH716" s="553"/>
      <c r="BI716" s="210"/>
      <c r="BJ716" s="210"/>
      <c r="BK716" s="210"/>
      <c r="BL716" s="210"/>
      <c r="BM716" s="210"/>
      <c r="BN716" s="210"/>
      <c r="BO716" s="210"/>
      <c r="BP716" s="210"/>
      <c r="BQ716" s="210"/>
      <c r="BR716" s="210"/>
      <c r="BS716" s="265"/>
    </row>
    <row r="717" spans="1:71" s="261" customFormat="1" ht="15">
      <c r="A717" s="519"/>
      <c r="B717" s="210"/>
      <c r="C717" s="514"/>
      <c r="D717" s="514"/>
      <c r="E717" s="210"/>
      <c r="F717" s="210"/>
      <c r="G717" s="210"/>
      <c r="H717" s="210"/>
      <c r="I717" s="210"/>
      <c r="J717" s="210"/>
      <c r="K717" s="210"/>
      <c r="L717" s="210"/>
      <c r="M717" s="210"/>
      <c r="N717" s="210"/>
      <c r="O717" s="210"/>
      <c r="P717" s="210"/>
      <c r="Q717" s="210"/>
      <c r="R717" s="210"/>
      <c r="S717" s="210"/>
      <c r="T717" s="210"/>
      <c r="U717" s="210"/>
      <c r="V717" s="210"/>
      <c r="W717" s="210"/>
      <c r="X717" s="210"/>
      <c r="Y717" s="210"/>
      <c r="Z717" s="210"/>
      <c r="AA717" s="210"/>
      <c r="AB717" s="210"/>
      <c r="AC717" s="210"/>
      <c r="AD717" s="210"/>
      <c r="AE717" s="210"/>
      <c r="AF717" s="210"/>
      <c r="AG717" s="210"/>
      <c r="AH717" s="210"/>
      <c r="AI717" s="210"/>
      <c r="AJ717" s="210"/>
      <c r="AK717" s="210"/>
      <c r="AL717" s="210"/>
      <c r="AM717" s="210"/>
      <c r="AN717" s="210"/>
      <c r="AO717" s="210"/>
      <c r="AP717" s="210"/>
      <c r="AQ717" s="210"/>
      <c r="AR717" s="210"/>
      <c r="AS717" s="210"/>
      <c r="AT717" s="210"/>
      <c r="AU717" s="210"/>
      <c r="AV717" s="210"/>
      <c r="AW717" s="210"/>
      <c r="AX717" s="210"/>
      <c r="AY717" s="210"/>
      <c r="AZ717" s="210"/>
      <c r="BA717" s="210"/>
      <c r="BB717" s="210"/>
      <c r="BC717" s="210"/>
      <c r="BD717" s="210"/>
      <c r="BE717" s="210"/>
      <c r="BF717" s="210"/>
      <c r="BG717" s="210"/>
      <c r="BH717" s="553"/>
      <c r="BI717" s="210"/>
      <c r="BJ717" s="210"/>
      <c r="BK717" s="210"/>
      <c r="BL717" s="210"/>
      <c r="BM717" s="210"/>
      <c r="BN717" s="210"/>
      <c r="BO717" s="210"/>
      <c r="BP717" s="210"/>
      <c r="BQ717" s="210"/>
      <c r="BR717" s="210"/>
      <c r="BS717" s="265"/>
    </row>
    <row r="718" spans="1:71" s="261" customFormat="1" ht="15">
      <c r="A718" s="655"/>
      <c r="B718" s="210"/>
      <c r="C718" s="514"/>
      <c r="D718" s="514"/>
      <c r="E718" s="210"/>
      <c r="F718" s="210"/>
      <c r="G718" s="210"/>
      <c r="H718" s="210"/>
      <c r="I718" s="210"/>
      <c r="J718" s="210"/>
      <c r="K718" s="210"/>
      <c r="L718" s="210"/>
      <c r="M718" s="210"/>
      <c r="N718" s="210"/>
      <c r="O718" s="210"/>
      <c r="P718" s="210"/>
      <c r="Q718" s="210"/>
      <c r="R718" s="210"/>
      <c r="S718" s="210"/>
      <c r="T718" s="210"/>
      <c r="U718" s="210"/>
      <c r="V718" s="210"/>
      <c r="W718" s="210"/>
      <c r="X718" s="210"/>
      <c r="Y718" s="210"/>
      <c r="Z718" s="210"/>
      <c r="AA718" s="210"/>
      <c r="AB718" s="210"/>
      <c r="AC718" s="210"/>
      <c r="AD718" s="210"/>
      <c r="AE718" s="210"/>
      <c r="AF718" s="210"/>
      <c r="AG718" s="210"/>
      <c r="AH718" s="210"/>
      <c r="AI718" s="210"/>
      <c r="AJ718" s="210"/>
      <c r="AK718" s="210"/>
      <c r="AL718" s="210"/>
      <c r="AM718" s="210"/>
      <c r="AN718" s="210"/>
      <c r="AO718" s="210"/>
      <c r="AP718" s="210"/>
      <c r="AQ718" s="210"/>
      <c r="AR718" s="210"/>
      <c r="AS718" s="210"/>
      <c r="AT718" s="210"/>
      <c r="AU718" s="210"/>
      <c r="AV718" s="210"/>
      <c r="AW718" s="210"/>
      <c r="AX718" s="210"/>
      <c r="AY718" s="210"/>
      <c r="AZ718" s="210"/>
      <c r="BA718" s="210"/>
      <c r="BB718" s="210"/>
      <c r="BC718" s="210"/>
      <c r="BD718" s="210"/>
      <c r="BE718" s="210"/>
      <c r="BF718" s="210"/>
      <c r="BG718" s="210"/>
      <c r="BH718" s="553"/>
      <c r="BI718" s="210"/>
      <c r="BJ718" s="210"/>
      <c r="BK718" s="210"/>
      <c r="BL718" s="210"/>
      <c r="BM718" s="210"/>
      <c r="BN718" s="210"/>
      <c r="BO718" s="210"/>
      <c r="BP718" s="210"/>
      <c r="BQ718" s="210"/>
      <c r="BR718" s="210"/>
      <c r="BS718" s="265"/>
    </row>
    <row r="719" spans="1:71" s="261" customFormat="1" ht="15">
      <c r="A719" s="656" t="s">
        <v>588</v>
      </c>
      <c r="B719" s="210"/>
      <c r="C719" s="514"/>
      <c r="D719" s="514"/>
      <c r="E719" s="210"/>
      <c r="F719" s="210"/>
      <c r="G719" s="210"/>
      <c r="H719" s="210"/>
      <c r="I719" s="210"/>
      <c r="J719" s="210"/>
      <c r="K719" s="210"/>
      <c r="L719" s="210"/>
      <c r="M719" s="210"/>
      <c r="N719" s="210"/>
      <c r="O719" s="210"/>
      <c r="P719" s="210"/>
      <c r="Q719" s="210"/>
      <c r="R719" s="210"/>
      <c r="S719" s="210"/>
      <c r="T719" s="210"/>
      <c r="U719" s="210"/>
      <c r="V719" s="210"/>
      <c r="W719" s="210"/>
      <c r="X719" s="210"/>
      <c r="Y719" s="210"/>
      <c r="Z719" s="210"/>
      <c r="AA719" s="210"/>
      <c r="AB719" s="210"/>
      <c r="AC719" s="210"/>
      <c r="AD719" s="210"/>
      <c r="AE719" s="210"/>
      <c r="AF719" s="210"/>
      <c r="AG719" s="210"/>
      <c r="AH719" s="210"/>
      <c r="AI719" s="210"/>
      <c r="AJ719" s="210"/>
      <c r="AK719" s="210"/>
      <c r="AL719" s="210"/>
      <c r="AM719" s="210"/>
      <c r="AN719" s="210"/>
      <c r="AO719" s="210"/>
      <c r="AP719" s="210"/>
      <c r="AQ719" s="210"/>
      <c r="AR719" s="210"/>
      <c r="AS719" s="210"/>
      <c r="AT719" s="210"/>
      <c r="AU719" s="210"/>
      <c r="AV719" s="210"/>
      <c r="AW719" s="210"/>
      <c r="AX719" s="210"/>
      <c r="AY719" s="210"/>
      <c r="AZ719" s="210"/>
      <c r="BA719" s="210"/>
      <c r="BB719" s="210"/>
      <c r="BC719" s="210"/>
      <c r="BD719" s="210"/>
      <c r="BE719" s="210"/>
      <c r="BF719" s="210"/>
      <c r="BG719" s="210"/>
      <c r="BH719" s="553"/>
      <c r="BI719" s="210"/>
      <c r="BJ719" s="210"/>
      <c r="BK719" s="210"/>
      <c r="BL719" s="210"/>
      <c r="BM719" s="210"/>
      <c r="BN719" s="210"/>
      <c r="BO719" s="210"/>
      <c r="BP719" s="210"/>
      <c r="BQ719" s="210"/>
      <c r="BR719" s="210"/>
      <c r="BS719" s="265"/>
    </row>
    <row r="720" spans="1:71" s="261" customFormat="1" ht="15">
      <c r="A720" s="657" t="s">
        <v>589</v>
      </c>
      <c r="B720" s="210"/>
      <c r="C720" s="514"/>
      <c r="D720" s="514"/>
      <c r="E720" s="210"/>
      <c r="F720" s="210"/>
      <c r="G720" s="210"/>
      <c r="H720" s="210"/>
      <c r="I720" s="210"/>
      <c r="J720" s="210"/>
      <c r="K720" s="210"/>
      <c r="L720" s="210"/>
      <c r="M720" s="210"/>
      <c r="N720" s="210"/>
      <c r="O720" s="210"/>
      <c r="P720" s="210"/>
      <c r="Q720" s="210"/>
      <c r="R720" s="210"/>
      <c r="S720" s="210"/>
      <c r="T720" s="210"/>
      <c r="U720" s="210"/>
      <c r="V720" s="210"/>
      <c r="W720" s="210"/>
      <c r="X720" s="210"/>
      <c r="Y720" s="210"/>
      <c r="Z720" s="210"/>
      <c r="AA720" s="210"/>
      <c r="AB720" s="210"/>
      <c r="AC720" s="210"/>
      <c r="AD720" s="210"/>
      <c r="AE720" s="210"/>
      <c r="AF720" s="210"/>
      <c r="AG720" s="210"/>
      <c r="AH720" s="210"/>
      <c r="AI720" s="210"/>
      <c r="AJ720" s="210"/>
      <c r="AK720" s="210"/>
      <c r="AL720" s="210"/>
      <c r="AM720" s="210"/>
      <c r="AN720" s="210"/>
      <c r="AO720" s="210"/>
      <c r="AP720" s="210"/>
      <c r="AQ720" s="210"/>
      <c r="AR720" s="210"/>
      <c r="AS720" s="210"/>
      <c r="AT720" s="210"/>
      <c r="AU720" s="210"/>
      <c r="AV720" s="210"/>
      <c r="AW720" s="210"/>
      <c r="AX720" s="210"/>
      <c r="AY720" s="210"/>
      <c r="AZ720" s="210"/>
      <c r="BA720" s="210"/>
      <c r="BB720" s="210"/>
      <c r="BC720" s="210"/>
      <c r="BD720" s="210"/>
      <c r="BE720" s="210"/>
      <c r="BF720" s="210"/>
      <c r="BG720" s="210"/>
      <c r="BH720" s="553"/>
      <c r="BI720" s="210"/>
      <c r="BJ720" s="210"/>
      <c r="BK720" s="210"/>
      <c r="BL720" s="210"/>
      <c r="BM720" s="210"/>
      <c r="BN720" s="210"/>
      <c r="BO720" s="210"/>
      <c r="BP720" s="210"/>
      <c r="BQ720" s="210"/>
      <c r="BR720" s="210"/>
      <c r="BS720" s="265"/>
    </row>
    <row r="721" spans="1:71" s="261" customFormat="1" ht="15">
      <c r="A721" s="657" t="s">
        <v>590</v>
      </c>
      <c r="B721" s="210"/>
      <c r="C721" s="514"/>
      <c r="D721" s="514"/>
      <c r="E721" s="210"/>
      <c r="F721" s="210"/>
      <c r="G721" s="210"/>
      <c r="H721" s="210"/>
      <c r="I721" s="210"/>
      <c r="J721" s="210"/>
      <c r="K721" s="210"/>
      <c r="L721" s="210"/>
      <c r="M721" s="210"/>
      <c r="N721" s="210"/>
      <c r="O721" s="210"/>
      <c r="P721" s="210"/>
      <c r="Q721" s="210"/>
      <c r="R721" s="210"/>
      <c r="S721" s="210"/>
      <c r="T721" s="210"/>
      <c r="U721" s="210"/>
      <c r="V721" s="210"/>
      <c r="W721" s="210"/>
      <c r="X721" s="210"/>
      <c r="Y721" s="210"/>
      <c r="Z721" s="210"/>
      <c r="AA721" s="210"/>
      <c r="AB721" s="210"/>
      <c r="AC721" s="210"/>
      <c r="AD721" s="210"/>
      <c r="AE721" s="210"/>
      <c r="AF721" s="210"/>
      <c r="AG721" s="210"/>
      <c r="AH721" s="210"/>
      <c r="AI721" s="210"/>
      <c r="AJ721" s="210"/>
      <c r="AK721" s="210"/>
      <c r="AL721" s="210"/>
      <c r="AM721" s="210"/>
      <c r="AN721" s="210"/>
      <c r="AO721" s="210"/>
      <c r="AP721" s="210"/>
      <c r="AQ721" s="210"/>
      <c r="AR721" s="210"/>
      <c r="AS721" s="210"/>
      <c r="AT721" s="210"/>
      <c r="AU721" s="210"/>
      <c r="AV721" s="210"/>
      <c r="AW721" s="210"/>
      <c r="AX721" s="210"/>
      <c r="AY721" s="210"/>
      <c r="AZ721" s="210"/>
      <c r="BA721" s="210"/>
      <c r="BB721" s="210"/>
      <c r="BC721" s="210"/>
      <c r="BD721" s="210"/>
      <c r="BE721" s="210"/>
      <c r="BF721" s="210"/>
      <c r="BG721" s="210"/>
      <c r="BH721" s="553"/>
      <c r="BI721" s="210"/>
      <c r="BJ721" s="210"/>
      <c r="BK721" s="210"/>
      <c r="BL721" s="210"/>
      <c r="BM721" s="210"/>
      <c r="BN721" s="210"/>
      <c r="BO721" s="210"/>
      <c r="BP721" s="210"/>
      <c r="BQ721" s="210"/>
      <c r="BR721" s="210"/>
      <c r="BS721" s="265"/>
    </row>
    <row r="722" spans="1:71" s="261" customFormat="1" ht="15">
      <c r="A722" s="657" t="s">
        <v>591</v>
      </c>
      <c r="B722" s="210"/>
      <c r="C722" s="514"/>
      <c r="D722" s="514"/>
      <c r="E722" s="210"/>
      <c r="F722" s="210"/>
      <c r="G722" s="210"/>
      <c r="H722" s="210"/>
      <c r="I722" s="210"/>
      <c r="J722" s="210"/>
      <c r="K722" s="210"/>
      <c r="L722" s="210"/>
      <c r="M722" s="210"/>
      <c r="N722" s="210"/>
      <c r="O722" s="210"/>
      <c r="P722" s="210"/>
      <c r="Q722" s="210"/>
      <c r="R722" s="210"/>
      <c r="S722" s="210"/>
      <c r="T722" s="210"/>
      <c r="U722" s="210"/>
      <c r="V722" s="210"/>
      <c r="W722" s="210"/>
      <c r="X722" s="210"/>
      <c r="Y722" s="210"/>
      <c r="Z722" s="210"/>
      <c r="AA722" s="210"/>
      <c r="AB722" s="210"/>
      <c r="AC722" s="210"/>
      <c r="AD722" s="210"/>
      <c r="AE722" s="210"/>
      <c r="AF722" s="210"/>
      <c r="AG722" s="210"/>
      <c r="AH722" s="210"/>
      <c r="AI722" s="210"/>
      <c r="AJ722" s="210"/>
      <c r="AK722" s="210"/>
      <c r="AL722" s="210"/>
      <c r="AM722" s="210"/>
      <c r="AN722" s="210"/>
      <c r="AO722" s="210"/>
      <c r="AP722" s="210"/>
      <c r="AQ722" s="210"/>
      <c r="AR722" s="210"/>
      <c r="AS722" s="210"/>
      <c r="AT722" s="210"/>
      <c r="AU722" s="210"/>
      <c r="AV722" s="210"/>
      <c r="AW722" s="210"/>
      <c r="AX722" s="210"/>
      <c r="AY722" s="210"/>
      <c r="AZ722" s="210"/>
      <c r="BA722" s="210"/>
      <c r="BB722" s="210"/>
      <c r="BC722" s="210"/>
      <c r="BD722" s="210"/>
      <c r="BE722" s="210"/>
      <c r="BF722" s="210"/>
      <c r="BG722" s="210"/>
      <c r="BH722" s="553"/>
      <c r="BI722" s="210"/>
      <c r="BJ722" s="210"/>
      <c r="BK722" s="210"/>
      <c r="BL722" s="210"/>
      <c r="BM722" s="210"/>
      <c r="BN722" s="210"/>
      <c r="BO722" s="210"/>
      <c r="BP722" s="210"/>
      <c r="BQ722" s="210"/>
      <c r="BR722" s="210"/>
      <c r="BS722" s="265"/>
    </row>
    <row r="723" spans="1:71" s="261" customFormat="1" ht="15">
      <c r="A723" s="657" t="s">
        <v>592</v>
      </c>
      <c r="B723" s="210"/>
      <c r="C723" s="514"/>
      <c r="D723" s="514"/>
      <c r="E723" s="210"/>
      <c r="F723" s="210"/>
      <c r="G723" s="210"/>
      <c r="H723" s="210"/>
      <c r="I723" s="210"/>
      <c r="J723" s="210"/>
      <c r="K723" s="210"/>
      <c r="L723" s="210"/>
      <c r="M723" s="210"/>
      <c r="N723" s="210"/>
      <c r="O723" s="210"/>
      <c r="P723" s="210"/>
      <c r="Q723" s="210"/>
      <c r="R723" s="210"/>
      <c r="S723" s="210"/>
      <c r="T723" s="210"/>
      <c r="U723" s="210"/>
      <c r="V723" s="210"/>
      <c r="W723" s="210"/>
      <c r="X723" s="210"/>
      <c r="Y723" s="210"/>
      <c r="Z723" s="210"/>
      <c r="AA723" s="210"/>
      <c r="AB723" s="210"/>
      <c r="AC723" s="210"/>
      <c r="AD723" s="210"/>
      <c r="AE723" s="210"/>
      <c r="AF723" s="210"/>
      <c r="AG723" s="210"/>
      <c r="AH723" s="210"/>
      <c r="AI723" s="210"/>
      <c r="AJ723" s="210"/>
      <c r="AK723" s="210"/>
      <c r="AL723" s="210"/>
      <c r="AM723" s="210"/>
      <c r="AN723" s="210"/>
      <c r="AO723" s="210"/>
      <c r="AP723" s="210"/>
      <c r="AQ723" s="210"/>
      <c r="AR723" s="210"/>
      <c r="AS723" s="210"/>
      <c r="AT723" s="210"/>
      <c r="AU723" s="210"/>
      <c r="AV723" s="210"/>
      <c r="AW723" s="210"/>
      <c r="AX723" s="210"/>
      <c r="AY723" s="210"/>
      <c r="AZ723" s="210"/>
      <c r="BA723" s="210"/>
      <c r="BB723" s="210"/>
      <c r="BC723" s="210"/>
      <c r="BD723" s="210"/>
      <c r="BE723" s="210"/>
      <c r="BF723" s="210"/>
      <c r="BG723" s="210"/>
      <c r="BH723" s="553"/>
      <c r="BI723" s="210"/>
      <c r="BJ723" s="210"/>
      <c r="BK723" s="210"/>
      <c r="BL723" s="210"/>
      <c r="BM723" s="210"/>
      <c r="BN723" s="210"/>
      <c r="BO723" s="210"/>
      <c r="BP723" s="210"/>
      <c r="BQ723" s="210"/>
      <c r="BR723" s="210"/>
      <c r="BS723" s="265"/>
    </row>
    <row r="724" spans="1:71" s="261" customFormat="1" ht="15">
      <c r="A724" s="657" t="s">
        <v>622</v>
      </c>
      <c r="B724" s="210"/>
      <c r="C724" s="514"/>
      <c r="D724" s="514"/>
      <c r="E724" s="210"/>
      <c r="F724" s="210"/>
      <c r="G724" s="210"/>
      <c r="H724" s="210"/>
      <c r="I724" s="210"/>
      <c r="J724" s="210"/>
      <c r="K724" s="210"/>
      <c r="L724" s="210"/>
      <c r="M724" s="210"/>
      <c r="N724" s="210"/>
      <c r="O724" s="210"/>
      <c r="P724" s="210"/>
      <c r="Q724" s="210"/>
      <c r="R724" s="210"/>
      <c r="S724" s="210"/>
      <c r="T724" s="210"/>
      <c r="U724" s="210"/>
      <c r="V724" s="210"/>
      <c r="W724" s="210"/>
      <c r="X724" s="210"/>
      <c r="Y724" s="210"/>
      <c r="Z724" s="210"/>
      <c r="AA724" s="210"/>
      <c r="AB724" s="210"/>
      <c r="AC724" s="210"/>
      <c r="AD724" s="210"/>
      <c r="AE724" s="210"/>
      <c r="AF724" s="210"/>
      <c r="AG724" s="210"/>
      <c r="AH724" s="210"/>
      <c r="AI724" s="210"/>
      <c r="AJ724" s="210"/>
      <c r="AK724" s="210"/>
      <c r="AL724" s="210"/>
      <c r="AM724" s="210"/>
      <c r="AN724" s="210"/>
      <c r="AO724" s="210"/>
      <c r="AP724" s="210"/>
      <c r="AQ724" s="210"/>
      <c r="AR724" s="210"/>
      <c r="AS724" s="210"/>
      <c r="AT724" s="210"/>
      <c r="AU724" s="210"/>
      <c r="AV724" s="210"/>
      <c r="AW724" s="210"/>
      <c r="AX724" s="210"/>
      <c r="AY724" s="210"/>
      <c r="AZ724" s="210"/>
      <c r="BA724" s="210"/>
      <c r="BB724" s="210"/>
      <c r="BC724" s="210"/>
      <c r="BD724" s="210"/>
      <c r="BE724" s="210"/>
      <c r="BF724" s="210"/>
      <c r="BG724" s="210"/>
      <c r="BH724" s="553"/>
      <c r="BI724" s="210"/>
      <c r="BJ724" s="210"/>
      <c r="BK724" s="210"/>
      <c r="BL724" s="210"/>
      <c r="BM724" s="210"/>
      <c r="BN724" s="210"/>
      <c r="BO724" s="210"/>
      <c r="BP724" s="210"/>
      <c r="BQ724" s="210"/>
      <c r="BR724" s="210"/>
      <c r="BS724" s="265"/>
    </row>
    <row r="725" spans="1:71" s="261" customFormat="1" ht="15">
      <c r="A725" s="657" t="s">
        <v>623</v>
      </c>
      <c r="B725" s="210"/>
      <c r="C725" s="514"/>
      <c r="D725" s="514"/>
      <c r="E725" s="210"/>
      <c r="F725" s="210"/>
      <c r="G725" s="210"/>
      <c r="H725" s="210"/>
      <c r="I725" s="210"/>
      <c r="J725" s="210"/>
      <c r="K725" s="210"/>
      <c r="L725" s="210"/>
      <c r="M725" s="210"/>
      <c r="N725" s="210"/>
      <c r="O725" s="210"/>
      <c r="P725" s="210"/>
      <c r="Q725" s="210"/>
      <c r="R725" s="210"/>
      <c r="S725" s="210"/>
      <c r="T725" s="210"/>
      <c r="U725" s="210"/>
      <c r="V725" s="210"/>
      <c r="W725" s="210"/>
      <c r="X725" s="210"/>
      <c r="Y725" s="210"/>
      <c r="Z725" s="210"/>
      <c r="AA725" s="210"/>
      <c r="AB725" s="210"/>
      <c r="AC725" s="210"/>
      <c r="AD725" s="210"/>
      <c r="AE725" s="210"/>
      <c r="AF725" s="210"/>
      <c r="AG725" s="210"/>
      <c r="AH725" s="210"/>
      <c r="AI725" s="210"/>
      <c r="AJ725" s="210"/>
      <c r="AK725" s="210"/>
      <c r="AL725" s="210"/>
      <c r="AM725" s="210"/>
      <c r="AN725" s="210"/>
      <c r="AO725" s="210"/>
      <c r="AP725" s="210"/>
      <c r="AQ725" s="210"/>
      <c r="AR725" s="210"/>
      <c r="AS725" s="210"/>
      <c r="AT725" s="210"/>
      <c r="AU725" s="210"/>
      <c r="AV725" s="210"/>
      <c r="AW725" s="210"/>
      <c r="AX725" s="210"/>
      <c r="AY725" s="210"/>
      <c r="AZ725" s="210"/>
      <c r="BA725" s="210"/>
      <c r="BB725" s="210"/>
      <c r="BC725" s="210"/>
      <c r="BD725" s="210"/>
      <c r="BE725" s="210"/>
      <c r="BF725" s="210"/>
      <c r="BG725" s="210"/>
      <c r="BH725" s="553"/>
      <c r="BI725" s="210"/>
      <c r="BJ725" s="210"/>
      <c r="BK725" s="210"/>
      <c r="BL725" s="210"/>
      <c r="BM725" s="210"/>
      <c r="BN725" s="210"/>
      <c r="BO725" s="210"/>
      <c r="BP725" s="210"/>
      <c r="BQ725" s="210"/>
      <c r="BR725" s="210"/>
      <c r="BS725" s="265"/>
    </row>
    <row r="726" spans="1:71" s="261" customFormat="1" ht="15">
      <c r="A726" s="657" t="s">
        <v>624</v>
      </c>
      <c r="B726" s="210"/>
      <c r="C726" s="514"/>
      <c r="D726" s="514"/>
      <c r="E726" s="210"/>
      <c r="F726" s="210"/>
      <c r="G726" s="210"/>
      <c r="H726" s="210"/>
      <c r="I726" s="210"/>
      <c r="J726" s="210"/>
      <c r="K726" s="210"/>
      <c r="L726" s="210"/>
      <c r="M726" s="210"/>
      <c r="N726" s="210"/>
      <c r="O726" s="210"/>
      <c r="P726" s="210"/>
      <c r="Q726" s="210"/>
      <c r="R726" s="210"/>
      <c r="S726" s="210"/>
      <c r="T726" s="210"/>
      <c r="U726" s="210"/>
      <c r="V726" s="210"/>
      <c r="W726" s="210"/>
      <c r="X726" s="210"/>
      <c r="Y726" s="210"/>
      <c r="Z726" s="210"/>
      <c r="AA726" s="210"/>
      <c r="AB726" s="210"/>
      <c r="AC726" s="210"/>
      <c r="AD726" s="210"/>
      <c r="AE726" s="210"/>
      <c r="AF726" s="210"/>
      <c r="AG726" s="210"/>
      <c r="AH726" s="210"/>
      <c r="AI726" s="210"/>
      <c r="AJ726" s="210"/>
      <c r="AK726" s="210"/>
      <c r="AL726" s="210"/>
      <c r="AM726" s="210"/>
      <c r="AN726" s="210"/>
      <c r="AO726" s="210"/>
      <c r="AP726" s="210"/>
      <c r="AQ726" s="210"/>
      <c r="AR726" s="210"/>
      <c r="AS726" s="210"/>
      <c r="AT726" s="210"/>
      <c r="AU726" s="210"/>
      <c r="AV726" s="210"/>
      <c r="AW726" s="210"/>
      <c r="AX726" s="210"/>
      <c r="AY726" s="210"/>
      <c r="AZ726" s="210"/>
      <c r="BA726" s="210"/>
      <c r="BB726" s="210"/>
      <c r="BC726" s="210"/>
      <c r="BD726" s="210"/>
      <c r="BE726" s="210"/>
      <c r="BF726" s="210"/>
      <c r="BG726" s="210"/>
      <c r="BH726" s="553"/>
      <c r="BI726" s="210"/>
      <c r="BJ726" s="210"/>
      <c r="BK726" s="210"/>
      <c r="BL726" s="210"/>
      <c r="BM726" s="210"/>
      <c r="BN726" s="210"/>
      <c r="BO726" s="210"/>
      <c r="BP726" s="210"/>
      <c r="BQ726" s="210"/>
      <c r="BR726" s="210"/>
      <c r="BS726" s="265"/>
    </row>
    <row r="727" spans="1:71" s="261" customFormat="1" ht="15">
      <c r="A727" s="657" t="s">
        <v>625</v>
      </c>
      <c r="B727" s="210"/>
      <c r="C727" s="514"/>
      <c r="D727" s="514"/>
      <c r="E727" s="210"/>
      <c r="F727" s="210"/>
      <c r="G727" s="210"/>
      <c r="H727" s="210"/>
      <c r="I727" s="210"/>
      <c r="J727" s="210"/>
      <c r="K727" s="210"/>
      <c r="L727" s="210"/>
      <c r="M727" s="210"/>
      <c r="N727" s="210"/>
      <c r="O727" s="210"/>
      <c r="P727" s="210"/>
      <c r="Q727" s="210"/>
      <c r="R727" s="210"/>
      <c r="S727" s="210"/>
      <c r="T727" s="210"/>
      <c r="U727" s="210"/>
      <c r="V727" s="210"/>
      <c r="W727" s="210"/>
      <c r="X727" s="210"/>
      <c r="Y727" s="210"/>
      <c r="Z727" s="210"/>
      <c r="AA727" s="210"/>
      <c r="AB727" s="210"/>
      <c r="AC727" s="210"/>
      <c r="AD727" s="210"/>
      <c r="AE727" s="210"/>
      <c r="AF727" s="210"/>
      <c r="AG727" s="210"/>
      <c r="AH727" s="210"/>
      <c r="AI727" s="210"/>
      <c r="AJ727" s="210"/>
      <c r="AK727" s="210"/>
      <c r="AL727" s="210"/>
      <c r="AM727" s="210"/>
      <c r="AN727" s="210"/>
      <c r="AO727" s="210"/>
      <c r="AP727" s="210"/>
      <c r="AQ727" s="210"/>
      <c r="AR727" s="210"/>
      <c r="AS727" s="210"/>
      <c r="AT727" s="210"/>
      <c r="AU727" s="210"/>
      <c r="AV727" s="210"/>
      <c r="AW727" s="210"/>
      <c r="AX727" s="210"/>
      <c r="AY727" s="210"/>
      <c r="AZ727" s="210"/>
      <c r="BA727" s="210"/>
      <c r="BB727" s="210"/>
      <c r="BC727" s="210"/>
      <c r="BD727" s="210"/>
      <c r="BE727" s="210"/>
      <c r="BF727" s="210"/>
      <c r="BG727" s="210"/>
      <c r="BH727" s="553"/>
      <c r="BI727" s="210"/>
      <c r="BJ727" s="210"/>
      <c r="BK727" s="210"/>
      <c r="BL727" s="210"/>
      <c r="BM727" s="210"/>
      <c r="BN727" s="210"/>
      <c r="BO727" s="210"/>
      <c r="BP727" s="210"/>
      <c r="BQ727" s="210"/>
      <c r="BR727" s="210"/>
      <c r="BS727" s="265"/>
    </row>
    <row r="728" spans="1:71" s="261" customFormat="1" ht="15">
      <c r="A728" s="657" t="s">
        <v>626</v>
      </c>
      <c r="B728" s="210"/>
      <c r="C728" s="514"/>
      <c r="D728" s="514"/>
      <c r="E728" s="210"/>
      <c r="F728" s="210"/>
      <c r="G728" s="210"/>
      <c r="H728" s="210"/>
      <c r="I728" s="210"/>
      <c r="J728" s="210"/>
      <c r="K728" s="210"/>
      <c r="L728" s="210"/>
      <c r="M728" s="210"/>
      <c r="N728" s="210"/>
      <c r="O728" s="210"/>
      <c r="P728" s="210"/>
      <c r="Q728" s="210"/>
      <c r="R728" s="210"/>
      <c r="S728" s="210"/>
      <c r="T728" s="210"/>
      <c r="U728" s="210"/>
      <c r="V728" s="210"/>
      <c r="W728" s="210"/>
      <c r="X728" s="210"/>
      <c r="Y728" s="210"/>
      <c r="Z728" s="210"/>
      <c r="AA728" s="210"/>
      <c r="AB728" s="210"/>
      <c r="AC728" s="210"/>
      <c r="AD728" s="210"/>
      <c r="AE728" s="210"/>
      <c r="AF728" s="210"/>
      <c r="AG728" s="210"/>
      <c r="AH728" s="210"/>
      <c r="AI728" s="210"/>
      <c r="AJ728" s="210"/>
      <c r="AK728" s="210"/>
      <c r="AL728" s="210"/>
      <c r="AM728" s="210"/>
      <c r="AN728" s="210"/>
      <c r="AO728" s="210"/>
      <c r="AP728" s="210"/>
      <c r="AQ728" s="210"/>
      <c r="AR728" s="210"/>
      <c r="AS728" s="210"/>
      <c r="AT728" s="210"/>
      <c r="AU728" s="210"/>
      <c r="AV728" s="210"/>
      <c r="AW728" s="210"/>
      <c r="AX728" s="210"/>
      <c r="AY728" s="210"/>
      <c r="AZ728" s="210"/>
      <c r="BA728" s="210"/>
      <c r="BB728" s="210"/>
      <c r="BC728" s="210"/>
      <c r="BD728" s="210"/>
      <c r="BE728" s="210"/>
      <c r="BF728" s="210"/>
      <c r="BG728" s="210"/>
      <c r="BH728" s="553"/>
      <c r="BI728" s="210"/>
      <c r="BJ728" s="210"/>
      <c r="BK728" s="210"/>
      <c r="BL728" s="210"/>
      <c r="BM728" s="210"/>
      <c r="BN728" s="210"/>
      <c r="BO728" s="210"/>
      <c r="BP728" s="210"/>
      <c r="BQ728" s="210"/>
      <c r="BR728" s="210"/>
      <c r="BS728" s="265"/>
    </row>
    <row r="729" spans="1:71" s="261" customFormat="1" ht="15">
      <c r="A729" s="657" t="s">
        <v>627</v>
      </c>
      <c r="B729" s="210"/>
      <c r="C729" s="514"/>
      <c r="D729" s="514"/>
      <c r="E729" s="210"/>
      <c r="F729" s="210"/>
      <c r="G729" s="210"/>
      <c r="H729" s="210"/>
      <c r="I729" s="210"/>
      <c r="J729" s="210"/>
      <c r="K729" s="210"/>
      <c r="L729" s="210"/>
      <c r="M729" s="210"/>
      <c r="N729" s="210"/>
      <c r="O729" s="210"/>
      <c r="P729" s="210"/>
      <c r="Q729" s="210"/>
      <c r="R729" s="210"/>
      <c r="S729" s="210"/>
      <c r="T729" s="210"/>
      <c r="U729" s="210"/>
      <c r="V729" s="210"/>
      <c r="W729" s="210"/>
      <c r="X729" s="210"/>
      <c r="Y729" s="210"/>
      <c r="Z729" s="210"/>
      <c r="AA729" s="210"/>
      <c r="AB729" s="210"/>
      <c r="AC729" s="210"/>
      <c r="AD729" s="210"/>
      <c r="AE729" s="210"/>
      <c r="AF729" s="210"/>
      <c r="AG729" s="210"/>
      <c r="AH729" s="210"/>
      <c r="AI729" s="210"/>
      <c r="AJ729" s="210"/>
      <c r="AK729" s="210"/>
      <c r="AL729" s="210"/>
      <c r="AM729" s="210"/>
      <c r="AN729" s="210"/>
      <c r="AO729" s="210"/>
      <c r="AP729" s="210"/>
      <c r="AQ729" s="210"/>
      <c r="AR729" s="210"/>
      <c r="AS729" s="210"/>
      <c r="AT729" s="210"/>
      <c r="AU729" s="210"/>
      <c r="AV729" s="210"/>
      <c r="AW729" s="210"/>
      <c r="AX729" s="210"/>
      <c r="AY729" s="210"/>
      <c r="AZ729" s="210"/>
      <c r="BA729" s="210"/>
      <c r="BB729" s="210"/>
      <c r="BC729" s="210"/>
      <c r="BD729" s="210"/>
      <c r="BE729" s="210"/>
      <c r="BF729" s="210"/>
      <c r="BG729" s="210"/>
      <c r="BH729" s="553"/>
      <c r="BI729" s="210"/>
      <c r="BJ729" s="210"/>
      <c r="BK729" s="210"/>
      <c r="BL729" s="210"/>
      <c r="BM729" s="210"/>
      <c r="BN729" s="210"/>
      <c r="BO729" s="210"/>
      <c r="BP729" s="210"/>
      <c r="BQ729" s="210"/>
      <c r="BR729" s="210"/>
      <c r="BS729" s="265"/>
    </row>
    <row r="730" spans="1:71" s="261" customFormat="1" ht="15">
      <c r="A730" s="657" t="s">
        <v>628</v>
      </c>
      <c r="B730" s="210"/>
      <c r="C730" s="514"/>
      <c r="D730" s="514"/>
      <c r="E730" s="210"/>
      <c r="F730" s="210"/>
      <c r="G730" s="210"/>
      <c r="H730" s="210"/>
      <c r="I730" s="210"/>
      <c r="J730" s="210"/>
      <c r="K730" s="210"/>
      <c r="L730" s="210"/>
      <c r="M730" s="210"/>
      <c r="N730" s="210"/>
      <c r="O730" s="210"/>
      <c r="P730" s="210"/>
      <c r="Q730" s="210"/>
      <c r="R730" s="210"/>
      <c r="S730" s="210"/>
      <c r="T730" s="210"/>
      <c r="U730" s="210"/>
      <c r="V730" s="210"/>
      <c r="W730" s="210"/>
      <c r="X730" s="210"/>
      <c r="Y730" s="210"/>
      <c r="Z730" s="210"/>
      <c r="AA730" s="210"/>
      <c r="AB730" s="210"/>
      <c r="AC730" s="210"/>
      <c r="AD730" s="210"/>
      <c r="AE730" s="210"/>
      <c r="AF730" s="210"/>
      <c r="AG730" s="210"/>
      <c r="AH730" s="210"/>
      <c r="AI730" s="210"/>
      <c r="AJ730" s="210"/>
      <c r="AK730" s="210"/>
      <c r="AL730" s="210"/>
      <c r="AM730" s="210"/>
      <c r="AN730" s="210"/>
      <c r="AO730" s="210"/>
      <c r="AP730" s="210"/>
      <c r="AQ730" s="210"/>
      <c r="AR730" s="210"/>
      <c r="AS730" s="210"/>
      <c r="AT730" s="210"/>
      <c r="AU730" s="210"/>
      <c r="AV730" s="210"/>
      <c r="AW730" s="210"/>
      <c r="AX730" s="210"/>
      <c r="AY730" s="210"/>
      <c r="AZ730" s="210"/>
      <c r="BA730" s="210"/>
      <c r="BB730" s="210"/>
      <c r="BC730" s="210"/>
      <c r="BD730" s="210"/>
      <c r="BE730" s="210"/>
      <c r="BF730" s="210"/>
      <c r="BG730" s="210"/>
      <c r="BH730" s="553"/>
      <c r="BI730" s="210"/>
      <c r="BJ730" s="210"/>
      <c r="BK730" s="210"/>
      <c r="BL730" s="210"/>
      <c r="BM730" s="210"/>
      <c r="BN730" s="210"/>
      <c r="BO730" s="210"/>
      <c r="BP730" s="210"/>
      <c r="BQ730" s="210"/>
      <c r="BR730" s="210"/>
      <c r="BS730" s="265"/>
    </row>
    <row r="731" spans="1:71" s="261" customFormat="1" ht="15">
      <c r="A731" s="657" t="s">
        <v>629</v>
      </c>
      <c r="B731" s="210"/>
      <c r="C731" s="514"/>
      <c r="D731" s="514"/>
      <c r="E731" s="210"/>
      <c r="F731" s="210"/>
      <c r="G731" s="210"/>
      <c r="H731" s="210"/>
      <c r="I731" s="210"/>
      <c r="J731" s="210"/>
      <c r="K731" s="210"/>
      <c r="L731" s="210"/>
      <c r="M731" s="210"/>
      <c r="N731" s="210"/>
      <c r="O731" s="210"/>
      <c r="P731" s="210"/>
      <c r="Q731" s="210"/>
      <c r="R731" s="210"/>
      <c r="S731" s="210"/>
      <c r="T731" s="210"/>
      <c r="U731" s="210"/>
      <c r="V731" s="210"/>
      <c r="W731" s="210"/>
      <c r="X731" s="210"/>
      <c r="Y731" s="210"/>
      <c r="Z731" s="210"/>
      <c r="AA731" s="210"/>
      <c r="AB731" s="210"/>
      <c r="AC731" s="210"/>
      <c r="AD731" s="210"/>
      <c r="AE731" s="210"/>
      <c r="AF731" s="210"/>
      <c r="AG731" s="210"/>
      <c r="AH731" s="210"/>
      <c r="AI731" s="210"/>
      <c r="AJ731" s="210"/>
      <c r="AK731" s="210"/>
      <c r="AL731" s="210"/>
      <c r="AM731" s="210"/>
      <c r="AN731" s="210"/>
      <c r="AO731" s="210"/>
      <c r="AP731" s="210"/>
      <c r="AQ731" s="210"/>
      <c r="AR731" s="210"/>
      <c r="AS731" s="210"/>
      <c r="AT731" s="210"/>
      <c r="AU731" s="210"/>
      <c r="AV731" s="210"/>
      <c r="AW731" s="210"/>
      <c r="AX731" s="210"/>
      <c r="AY731" s="210"/>
      <c r="AZ731" s="210"/>
      <c r="BA731" s="210"/>
      <c r="BB731" s="210"/>
      <c r="BC731" s="210"/>
      <c r="BD731" s="210"/>
      <c r="BE731" s="210"/>
      <c r="BF731" s="210"/>
      <c r="BG731" s="210"/>
      <c r="BH731" s="553"/>
      <c r="BI731" s="210"/>
      <c r="BJ731" s="210"/>
      <c r="BK731" s="210"/>
      <c r="BL731" s="210"/>
      <c r="BM731" s="210"/>
      <c r="BN731" s="210"/>
      <c r="BO731" s="210"/>
      <c r="BP731" s="210"/>
      <c r="BQ731" s="210"/>
      <c r="BR731" s="210"/>
      <c r="BS731" s="265"/>
    </row>
    <row r="732" spans="1:71" s="261" customFormat="1" ht="15">
      <c r="A732" s="657" t="s">
        <v>630</v>
      </c>
      <c r="B732" s="210"/>
      <c r="C732" s="514"/>
      <c r="D732" s="514"/>
      <c r="E732" s="210"/>
      <c r="F732" s="210"/>
      <c r="G732" s="210"/>
      <c r="H732" s="210"/>
      <c r="I732" s="210"/>
      <c r="J732" s="210"/>
      <c r="K732" s="210"/>
      <c r="L732" s="210"/>
      <c r="M732" s="210"/>
      <c r="N732" s="210"/>
      <c r="O732" s="210"/>
      <c r="P732" s="210"/>
      <c r="Q732" s="210"/>
      <c r="R732" s="210"/>
      <c r="S732" s="210"/>
      <c r="T732" s="210"/>
      <c r="U732" s="210"/>
      <c r="V732" s="210"/>
      <c r="W732" s="210"/>
      <c r="X732" s="210"/>
      <c r="Y732" s="210"/>
      <c r="Z732" s="210"/>
      <c r="AA732" s="210"/>
      <c r="AB732" s="210"/>
      <c r="AC732" s="210"/>
      <c r="AD732" s="210"/>
      <c r="AE732" s="210"/>
      <c r="AF732" s="210"/>
      <c r="AG732" s="210"/>
      <c r="AH732" s="210"/>
      <c r="AI732" s="210"/>
      <c r="AJ732" s="210"/>
      <c r="AK732" s="210"/>
      <c r="AL732" s="210"/>
      <c r="AM732" s="210"/>
      <c r="AN732" s="210"/>
      <c r="AO732" s="210"/>
      <c r="AP732" s="210"/>
      <c r="AQ732" s="210"/>
      <c r="AR732" s="210"/>
      <c r="AS732" s="210"/>
      <c r="AT732" s="210"/>
      <c r="AU732" s="210"/>
      <c r="AV732" s="210"/>
      <c r="AW732" s="210"/>
      <c r="AX732" s="210"/>
      <c r="AY732" s="210"/>
      <c r="AZ732" s="210"/>
      <c r="BA732" s="210"/>
      <c r="BB732" s="210"/>
      <c r="BC732" s="210"/>
      <c r="BD732" s="210"/>
      <c r="BE732" s="210"/>
      <c r="BF732" s="210"/>
      <c r="BG732" s="210"/>
      <c r="BH732" s="553"/>
      <c r="BI732" s="210"/>
      <c r="BJ732" s="210"/>
      <c r="BK732" s="210"/>
      <c r="BL732" s="210"/>
      <c r="BM732" s="210"/>
      <c r="BN732" s="210"/>
      <c r="BO732" s="210"/>
      <c r="BP732" s="210"/>
      <c r="BQ732" s="210"/>
      <c r="BR732" s="210"/>
      <c r="BS732" s="265"/>
    </row>
    <row r="733" spans="1:71" s="261" customFormat="1" ht="15">
      <c r="A733" s="657" t="s">
        <v>631</v>
      </c>
      <c r="B733" s="210"/>
      <c r="C733" s="514"/>
      <c r="D733" s="514"/>
      <c r="E733" s="210"/>
      <c r="F733" s="210"/>
      <c r="G733" s="210"/>
      <c r="H733" s="210"/>
      <c r="I733" s="210"/>
      <c r="J733" s="210"/>
      <c r="K733" s="210"/>
      <c r="L733" s="210"/>
      <c r="M733" s="210"/>
      <c r="N733" s="210"/>
      <c r="O733" s="210"/>
      <c r="P733" s="210"/>
      <c r="Q733" s="210"/>
      <c r="R733" s="210"/>
      <c r="S733" s="210"/>
      <c r="T733" s="210"/>
      <c r="U733" s="210"/>
      <c r="V733" s="210"/>
      <c r="W733" s="210"/>
      <c r="X733" s="210"/>
      <c r="Y733" s="210"/>
      <c r="Z733" s="210"/>
      <c r="AA733" s="210"/>
      <c r="AB733" s="210"/>
      <c r="AC733" s="210"/>
      <c r="AD733" s="210"/>
      <c r="AE733" s="210"/>
      <c r="AF733" s="210"/>
      <c r="AG733" s="210"/>
      <c r="AH733" s="210"/>
      <c r="AI733" s="210"/>
      <c r="AJ733" s="210"/>
      <c r="AK733" s="210"/>
      <c r="AL733" s="210"/>
      <c r="AM733" s="210"/>
      <c r="AN733" s="210"/>
      <c r="AO733" s="210"/>
      <c r="AP733" s="210"/>
      <c r="AQ733" s="210"/>
      <c r="AR733" s="210"/>
      <c r="AS733" s="210"/>
      <c r="AT733" s="210"/>
      <c r="AU733" s="210"/>
      <c r="AV733" s="210"/>
      <c r="AW733" s="210"/>
      <c r="AX733" s="210"/>
      <c r="AY733" s="210"/>
      <c r="AZ733" s="210"/>
      <c r="BA733" s="210"/>
      <c r="BB733" s="210"/>
      <c r="BC733" s="210"/>
      <c r="BD733" s="210"/>
      <c r="BE733" s="210"/>
      <c r="BF733" s="210"/>
      <c r="BG733" s="210"/>
      <c r="BH733" s="553"/>
      <c r="BI733" s="210"/>
      <c r="BJ733" s="210"/>
      <c r="BK733" s="210"/>
      <c r="BL733" s="210"/>
      <c r="BM733" s="210"/>
      <c r="BN733" s="210"/>
      <c r="BO733" s="210"/>
      <c r="BP733" s="210"/>
      <c r="BQ733" s="210"/>
      <c r="BR733" s="210"/>
      <c r="BS733" s="265"/>
    </row>
    <row r="734" spans="1:71" s="261" customFormat="1" ht="15">
      <c r="A734" s="657" t="s">
        <v>632</v>
      </c>
      <c r="B734" s="210"/>
      <c r="C734" s="514"/>
      <c r="D734" s="514"/>
      <c r="E734" s="210"/>
      <c r="F734" s="210"/>
      <c r="G734" s="210"/>
      <c r="H734" s="210"/>
      <c r="I734" s="210"/>
      <c r="J734" s="210"/>
      <c r="K734" s="210"/>
      <c r="L734" s="210"/>
      <c r="M734" s="210"/>
      <c r="N734" s="210"/>
      <c r="O734" s="210"/>
      <c r="P734" s="210"/>
      <c r="Q734" s="210"/>
      <c r="R734" s="210"/>
      <c r="S734" s="210"/>
      <c r="T734" s="210"/>
      <c r="U734" s="210"/>
      <c r="V734" s="210"/>
      <c r="W734" s="210"/>
      <c r="X734" s="210"/>
      <c r="Y734" s="210"/>
      <c r="Z734" s="210"/>
      <c r="AA734" s="210"/>
      <c r="AB734" s="210"/>
      <c r="AC734" s="210"/>
      <c r="AD734" s="210"/>
      <c r="AE734" s="210"/>
      <c r="AF734" s="210"/>
      <c r="AG734" s="210"/>
      <c r="AH734" s="210"/>
      <c r="AI734" s="210"/>
      <c r="AJ734" s="210"/>
      <c r="AK734" s="210"/>
      <c r="AL734" s="210"/>
      <c r="AM734" s="210"/>
      <c r="AN734" s="210"/>
      <c r="AO734" s="210"/>
      <c r="AP734" s="210"/>
      <c r="AQ734" s="210"/>
      <c r="AR734" s="210"/>
      <c r="AS734" s="210"/>
      <c r="AT734" s="210"/>
      <c r="AU734" s="210"/>
      <c r="AV734" s="210"/>
      <c r="AW734" s="210"/>
      <c r="AX734" s="210"/>
      <c r="AY734" s="210"/>
      <c r="AZ734" s="210"/>
      <c r="BA734" s="210"/>
      <c r="BB734" s="210"/>
      <c r="BC734" s="210"/>
      <c r="BD734" s="210"/>
      <c r="BE734" s="210"/>
      <c r="BF734" s="210"/>
      <c r="BG734" s="210"/>
      <c r="BH734" s="553"/>
      <c r="BI734" s="210"/>
      <c r="BJ734" s="210"/>
      <c r="BK734" s="210"/>
      <c r="BL734" s="210"/>
      <c r="BM734" s="210"/>
      <c r="BN734" s="210"/>
      <c r="BO734" s="210"/>
      <c r="BP734" s="210"/>
      <c r="BQ734" s="210"/>
      <c r="BR734" s="210"/>
      <c r="BS734" s="265"/>
    </row>
    <row r="735" spans="1:71" s="261" customFormat="1" ht="15">
      <c r="A735" s="657" t="s">
        <v>633</v>
      </c>
      <c r="B735" s="210"/>
      <c r="C735" s="514"/>
      <c r="D735" s="514"/>
      <c r="E735" s="210"/>
      <c r="F735" s="210"/>
      <c r="G735" s="210"/>
      <c r="H735" s="210"/>
      <c r="I735" s="210"/>
      <c r="J735" s="210"/>
      <c r="K735" s="210"/>
      <c r="L735" s="210"/>
      <c r="M735" s="210"/>
      <c r="N735" s="210"/>
      <c r="O735" s="210"/>
      <c r="P735" s="210"/>
      <c r="Q735" s="210"/>
      <c r="R735" s="210"/>
      <c r="S735" s="210"/>
      <c r="T735" s="210"/>
      <c r="U735" s="210"/>
      <c r="V735" s="210"/>
      <c r="W735" s="210"/>
      <c r="X735" s="210"/>
      <c r="Y735" s="210"/>
      <c r="Z735" s="210"/>
      <c r="AA735" s="210"/>
      <c r="AB735" s="210"/>
      <c r="AC735" s="210"/>
      <c r="AD735" s="210"/>
      <c r="AE735" s="210"/>
      <c r="AF735" s="210"/>
      <c r="AG735" s="210"/>
      <c r="AH735" s="210"/>
      <c r="AI735" s="210"/>
      <c r="AJ735" s="210"/>
      <c r="AK735" s="210"/>
      <c r="AL735" s="210"/>
      <c r="AM735" s="210"/>
      <c r="AN735" s="210"/>
      <c r="AO735" s="210"/>
      <c r="AP735" s="210"/>
      <c r="AQ735" s="210"/>
      <c r="AR735" s="210"/>
      <c r="AS735" s="210"/>
      <c r="AT735" s="210"/>
      <c r="AU735" s="210"/>
      <c r="AV735" s="210"/>
      <c r="AW735" s="210"/>
      <c r="AX735" s="210"/>
      <c r="AY735" s="210"/>
      <c r="AZ735" s="210"/>
      <c r="BA735" s="210"/>
      <c r="BB735" s="210"/>
      <c r="BC735" s="210"/>
      <c r="BD735" s="210"/>
      <c r="BE735" s="210"/>
      <c r="BF735" s="210"/>
      <c r="BG735" s="210"/>
      <c r="BH735" s="553"/>
      <c r="BI735" s="210"/>
      <c r="BJ735" s="210"/>
      <c r="BK735" s="210"/>
      <c r="BL735" s="210"/>
      <c r="BM735" s="210"/>
      <c r="BN735" s="210"/>
      <c r="BO735" s="210"/>
      <c r="BP735" s="210"/>
      <c r="BQ735" s="210"/>
      <c r="BR735" s="210"/>
      <c r="BS735" s="265"/>
    </row>
    <row r="736" spans="1:71" s="261" customFormat="1" ht="15">
      <c r="A736" s="657" t="s">
        <v>634</v>
      </c>
      <c r="B736" s="210"/>
      <c r="C736" s="514"/>
      <c r="D736" s="514"/>
      <c r="E736" s="210"/>
      <c r="F736" s="210"/>
      <c r="G736" s="210"/>
      <c r="H736" s="210"/>
      <c r="I736" s="210"/>
      <c r="J736" s="210"/>
      <c r="K736" s="210"/>
      <c r="L736" s="210"/>
      <c r="M736" s="210"/>
      <c r="N736" s="210"/>
      <c r="O736" s="210"/>
      <c r="P736" s="210"/>
      <c r="Q736" s="210"/>
      <c r="R736" s="210"/>
      <c r="S736" s="210"/>
      <c r="T736" s="210"/>
      <c r="U736" s="210"/>
      <c r="V736" s="210"/>
      <c r="W736" s="210"/>
      <c r="X736" s="210"/>
      <c r="Y736" s="210"/>
      <c r="Z736" s="210"/>
      <c r="AA736" s="210"/>
      <c r="AB736" s="210"/>
      <c r="AC736" s="210"/>
      <c r="AD736" s="210"/>
      <c r="AE736" s="210"/>
      <c r="AF736" s="210"/>
      <c r="AG736" s="210"/>
      <c r="AH736" s="210"/>
      <c r="AI736" s="210"/>
      <c r="AJ736" s="210"/>
      <c r="AK736" s="210"/>
      <c r="AL736" s="210"/>
      <c r="AM736" s="210"/>
      <c r="AN736" s="210"/>
      <c r="AO736" s="210"/>
      <c r="AP736" s="210"/>
      <c r="AQ736" s="210"/>
      <c r="AR736" s="210"/>
      <c r="AS736" s="210"/>
      <c r="AT736" s="210"/>
      <c r="AU736" s="210"/>
      <c r="AV736" s="210"/>
      <c r="AW736" s="210"/>
      <c r="AX736" s="210"/>
      <c r="AY736" s="210"/>
      <c r="AZ736" s="210"/>
      <c r="BA736" s="210"/>
      <c r="BB736" s="210"/>
      <c r="BC736" s="210"/>
      <c r="BD736" s="210"/>
      <c r="BE736" s="210"/>
      <c r="BF736" s="210"/>
      <c r="BG736" s="210"/>
      <c r="BH736" s="553"/>
      <c r="BI736" s="210"/>
      <c r="BJ736" s="210"/>
      <c r="BK736" s="210"/>
      <c r="BL736" s="210"/>
      <c r="BM736" s="210"/>
      <c r="BN736" s="210"/>
      <c r="BO736" s="210"/>
      <c r="BP736" s="210"/>
      <c r="BQ736" s="210"/>
      <c r="BR736" s="210"/>
      <c r="BS736" s="265"/>
    </row>
    <row r="737" spans="1:71" s="261" customFormat="1" ht="15">
      <c r="A737" s="657" t="s">
        <v>635</v>
      </c>
      <c r="B737" s="210"/>
      <c r="C737" s="514"/>
      <c r="D737" s="514"/>
      <c r="E737" s="210"/>
      <c r="F737" s="210"/>
      <c r="G737" s="210"/>
      <c r="H737" s="210"/>
      <c r="I737" s="210"/>
      <c r="J737" s="210"/>
      <c r="K737" s="210"/>
      <c r="L737" s="210"/>
      <c r="M737" s="210"/>
      <c r="N737" s="210"/>
      <c r="O737" s="210"/>
      <c r="P737" s="210"/>
      <c r="Q737" s="210"/>
      <c r="R737" s="210"/>
      <c r="S737" s="210"/>
      <c r="T737" s="210"/>
      <c r="U737" s="210"/>
      <c r="V737" s="210"/>
      <c r="W737" s="210"/>
      <c r="X737" s="210"/>
      <c r="Y737" s="210"/>
      <c r="Z737" s="210"/>
      <c r="AA737" s="210"/>
      <c r="AB737" s="210"/>
      <c r="AC737" s="210"/>
      <c r="AD737" s="210"/>
      <c r="AE737" s="210"/>
      <c r="AF737" s="210"/>
      <c r="AG737" s="210"/>
      <c r="AH737" s="210"/>
      <c r="AI737" s="210"/>
      <c r="AJ737" s="210"/>
      <c r="AK737" s="210"/>
      <c r="AL737" s="210"/>
      <c r="AM737" s="210"/>
      <c r="AN737" s="210"/>
      <c r="AO737" s="210"/>
      <c r="AP737" s="210"/>
      <c r="AQ737" s="210"/>
      <c r="AR737" s="210"/>
      <c r="AS737" s="210"/>
      <c r="AT737" s="210"/>
      <c r="AU737" s="210"/>
      <c r="AV737" s="210"/>
      <c r="AW737" s="210"/>
      <c r="AX737" s="210"/>
      <c r="AY737" s="210"/>
      <c r="AZ737" s="210"/>
      <c r="BA737" s="210"/>
      <c r="BB737" s="210"/>
      <c r="BC737" s="210"/>
      <c r="BD737" s="210"/>
      <c r="BE737" s="210"/>
      <c r="BF737" s="210"/>
      <c r="BG737" s="210"/>
      <c r="BH737" s="553"/>
      <c r="BI737" s="210"/>
      <c r="BJ737" s="210"/>
      <c r="BK737" s="210"/>
      <c r="BL737" s="210"/>
      <c r="BM737" s="210"/>
      <c r="BN737" s="210"/>
      <c r="BO737" s="210"/>
      <c r="BP737" s="210"/>
      <c r="BQ737" s="210"/>
      <c r="BR737" s="210"/>
      <c r="BS737" s="265"/>
    </row>
    <row r="738" spans="1:71" s="261" customFormat="1" ht="15">
      <c r="A738" s="657" t="s">
        <v>636</v>
      </c>
      <c r="B738" s="210"/>
      <c r="C738" s="514"/>
      <c r="D738" s="514"/>
      <c r="E738" s="210"/>
      <c r="F738" s="210"/>
      <c r="G738" s="210"/>
      <c r="H738" s="210"/>
      <c r="I738" s="210"/>
      <c r="J738" s="210"/>
      <c r="K738" s="210"/>
      <c r="L738" s="210"/>
      <c r="M738" s="210"/>
      <c r="N738" s="210"/>
      <c r="O738" s="210"/>
      <c r="P738" s="210"/>
      <c r="Q738" s="210"/>
      <c r="R738" s="210"/>
      <c r="S738" s="210"/>
      <c r="T738" s="210"/>
      <c r="U738" s="210"/>
      <c r="V738" s="210"/>
      <c r="W738" s="210"/>
      <c r="X738" s="210"/>
      <c r="Y738" s="210"/>
      <c r="Z738" s="210"/>
      <c r="AA738" s="210"/>
      <c r="AB738" s="210"/>
      <c r="AC738" s="210"/>
      <c r="AD738" s="210"/>
      <c r="AE738" s="210"/>
      <c r="AF738" s="210"/>
      <c r="AG738" s="210"/>
      <c r="AH738" s="210"/>
      <c r="AI738" s="210"/>
      <c r="AJ738" s="210"/>
      <c r="AK738" s="210"/>
      <c r="AL738" s="210"/>
      <c r="AM738" s="210"/>
      <c r="AN738" s="210"/>
      <c r="AO738" s="210"/>
      <c r="AP738" s="210"/>
      <c r="AQ738" s="210"/>
      <c r="AR738" s="210"/>
      <c r="AS738" s="210"/>
      <c r="AT738" s="210"/>
      <c r="AU738" s="210"/>
      <c r="AV738" s="210"/>
      <c r="AW738" s="210"/>
      <c r="AX738" s="210"/>
      <c r="AY738" s="210"/>
      <c r="AZ738" s="210"/>
      <c r="BA738" s="210"/>
      <c r="BB738" s="210"/>
      <c r="BC738" s="210"/>
      <c r="BD738" s="210"/>
      <c r="BE738" s="210"/>
      <c r="BF738" s="210"/>
      <c r="BG738" s="210"/>
      <c r="BH738" s="553"/>
      <c r="BI738" s="210"/>
      <c r="BJ738" s="210"/>
      <c r="BK738" s="210"/>
      <c r="BL738" s="210"/>
      <c r="BM738" s="210"/>
      <c r="BN738" s="210"/>
      <c r="BO738" s="210"/>
      <c r="BP738" s="210"/>
      <c r="BQ738" s="210"/>
      <c r="BR738" s="210"/>
      <c r="BS738" s="265"/>
    </row>
    <row r="739" spans="1:71" s="261" customFormat="1" ht="15">
      <c r="A739" s="657" t="s">
        <v>637</v>
      </c>
      <c r="B739" s="210"/>
      <c r="C739" s="514"/>
      <c r="D739" s="514"/>
      <c r="E739" s="210"/>
      <c r="F739" s="210"/>
      <c r="G739" s="210"/>
      <c r="H739" s="210"/>
      <c r="I739" s="210"/>
      <c r="J739" s="210"/>
      <c r="K739" s="210"/>
      <c r="L739" s="210"/>
      <c r="M739" s="210"/>
      <c r="N739" s="210"/>
      <c r="O739" s="210"/>
      <c r="P739" s="210"/>
      <c r="Q739" s="210"/>
      <c r="R739" s="210"/>
      <c r="S739" s="210"/>
      <c r="T739" s="210"/>
      <c r="U739" s="210"/>
      <c r="V739" s="210"/>
      <c r="W739" s="210"/>
      <c r="X739" s="210"/>
      <c r="Y739" s="210"/>
      <c r="Z739" s="210"/>
      <c r="AA739" s="210"/>
      <c r="AB739" s="210"/>
      <c r="AC739" s="210"/>
      <c r="AD739" s="210"/>
      <c r="AE739" s="210"/>
      <c r="AF739" s="210"/>
      <c r="AG739" s="210"/>
      <c r="AH739" s="210"/>
      <c r="AI739" s="210"/>
      <c r="AJ739" s="210"/>
      <c r="AK739" s="210"/>
      <c r="AL739" s="210"/>
      <c r="AM739" s="210"/>
      <c r="AN739" s="210"/>
      <c r="AO739" s="210"/>
      <c r="AP739" s="210"/>
      <c r="AQ739" s="210"/>
      <c r="AR739" s="210"/>
      <c r="AS739" s="210"/>
      <c r="AT739" s="210"/>
      <c r="AU739" s="210"/>
      <c r="AV739" s="210"/>
      <c r="AW739" s="210"/>
      <c r="AX739" s="210"/>
      <c r="AY739" s="210"/>
      <c r="AZ739" s="210"/>
      <c r="BA739" s="210"/>
      <c r="BB739" s="210"/>
      <c r="BC739" s="210"/>
      <c r="BD739" s="210"/>
      <c r="BE739" s="210"/>
      <c r="BF739" s="210"/>
      <c r="BG739" s="210"/>
      <c r="BH739" s="553"/>
      <c r="BI739" s="210"/>
      <c r="BJ739" s="210"/>
      <c r="BK739" s="210"/>
      <c r="BL739" s="210"/>
      <c r="BM739" s="210"/>
      <c r="BN739" s="210"/>
      <c r="BO739" s="210"/>
      <c r="BP739" s="210"/>
      <c r="BQ739" s="210"/>
      <c r="BR739" s="210"/>
      <c r="BS739" s="265"/>
    </row>
    <row r="740" spans="1:71" s="261" customFormat="1" ht="15">
      <c r="A740" s="657" t="s">
        <v>638</v>
      </c>
      <c r="B740" s="210"/>
      <c r="C740" s="514"/>
      <c r="D740" s="514"/>
      <c r="E740" s="210"/>
      <c r="F740" s="210"/>
      <c r="G740" s="210"/>
      <c r="H740" s="210"/>
      <c r="I740" s="210"/>
      <c r="J740" s="210"/>
      <c r="K740" s="210"/>
      <c r="L740" s="210"/>
      <c r="M740" s="210"/>
      <c r="N740" s="210"/>
      <c r="O740" s="210"/>
      <c r="P740" s="210"/>
      <c r="Q740" s="210"/>
      <c r="R740" s="210"/>
      <c r="S740" s="210"/>
      <c r="T740" s="210"/>
      <c r="U740" s="210"/>
      <c r="V740" s="210"/>
      <c r="W740" s="210"/>
      <c r="X740" s="210"/>
      <c r="Y740" s="210"/>
      <c r="Z740" s="210"/>
      <c r="AA740" s="210"/>
      <c r="AB740" s="210"/>
      <c r="AC740" s="210"/>
      <c r="AD740" s="210"/>
      <c r="AE740" s="210"/>
      <c r="AF740" s="210"/>
      <c r="AG740" s="210"/>
      <c r="AH740" s="210"/>
      <c r="AI740" s="210"/>
      <c r="AJ740" s="210"/>
      <c r="AK740" s="210"/>
      <c r="AL740" s="210"/>
      <c r="AM740" s="210"/>
      <c r="AN740" s="210"/>
      <c r="AO740" s="210"/>
      <c r="AP740" s="210"/>
      <c r="AQ740" s="210"/>
      <c r="AR740" s="210"/>
      <c r="AS740" s="210"/>
      <c r="AT740" s="210"/>
      <c r="AU740" s="210"/>
      <c r="AV740" s="210"/>
      <c r="AW740" s="210"/>
      <c r="AX740" s="210"/>
      <c r="AY740" s="210"/>
      <c r="AZ740" s="210"/>
      <c r="BA740" s="210"/>
      <c r="BB740" s="210"/>
      <c r="BC740" s="210"/>
      <c r="BD740" s="210"/>
      <c r="BE740" s="210"/>
      <c r="BF740" s="210"/>
      <c r="BG740" s="210"/>
      <c r="BH740" s="553"/>
      <c r="BI740" s="210"/>
      <c r="BJ740" s="210"/>
      <c r="BK740" s="210"/>
      <c r="BL740" s="210"/>
      <c r="BM740" s="210"/>
      <c r="BN740" s="210"/>
      <c r="BO740" s="210"/>
      <c r="BP740" s="210"/>
      <c r="BQ740" s="210"/>
      <c r="BR740" s="210"/>
      <c r="BS740" s="265"/>
    </row>
    <row r="741" spans="1:71" s="261" customFormat="1" ht="15">
      <c r="A741" s="657" t="s">
        <v>639</v>
      </c>
      <c r="B741" s="210"/>
      <c r="C741" s="514"/>
      <c r="D741" s="514"/>
      <c r="E741" s="210"/>
      <c r="F741" s="210"/>
      <c r="G741" s="210"/>
      <c r="H741" s="210"/>
      <c r="I741" s="210"/>
      <c r="J741" s="210"/>
      <c r="K741" s="210"/>
      <c r="L741" s="210"/>
      <c r="M741" s="210"/>
      <c r="N741" s="210"/>
      <c r="O741" s="210"/>
      <c r="P741" s="210"/>
      <c r="Q741" s="210"/>
      <c r="R741" s="210"/>
      <c r="S741" s="210"/>
      <c r="T741" s="210"/>
      <c r="U741" s="210"/>
      <c r="V741" s="210"/>
      <c r="W741" s="210"/>
      <c r="X741" s="210"/>
      <c r="Y741" s="210"/>
      <c r="Z741" s="210"/>
      <c r="AA741" s="210"/>
      <c r="AB741" s="210"/>
      <c r="AC741" s="210"/>
      <c r="AD741" s="210"/>
      <c r="AE741" s="210"/>
      <c r="AF741" s="210"/>
      <c r="AG741" s="210"/>
      <c r="AH741" s="210"/>
      <c r="AI741" s="210"/>
      <c r="AJ741" s="210"/>
      <c r="AK741" s="210"/>
      <c r="AL741" s="210"/>
      <c r="AM741" s="210"/>
      <c r="AN741" s="210"/>
      <c r="AO741" s="210"/>
      <c r="AP741" s="210"/>
      <c r="AQ741" s="210"/>
      <c r="AR741" s="210"/>
      <c r="AS741" s="210"/>
      <c r="AT741" s="210"/>
      <c r="AU741" s="210"/>
      <c r="AV741" s="210"/>
      <c r="AW741" s="210"/>
      <c r="AX741" s="210"/>
      <c r="AY741" s="210"/>
      <c r="AZ741" s="210"/>
      <c r="BA741" s="210"/>
      <c r="BB741" s="210"/>
      <c r="BC741" s="210"/>
      <c r="BD741" s="210"/>
      <c r="BE741" s="210"/>
      <c r="BF741" s="210"/>
      <c r="BG741" s="210"/>
      <c r="BH741" s="553"/>
      <c r="BI741" s="210"/>
      <c r="BJ741" s="210"/>
      <c r="BK741" s="210"/>
      <c r="BL741" s="210"/>
      <c r="BM741" s="210"/>
      <c r="BN741" s="210"/>
      <c r="BO741" s="210"/>
      <c r="BP741" s="210"/>
      <c r="BQ741" s="210"/>
      <c r="BR741" s="210"/>
      <c r="BS741" s="265"/>
    </row>
    <row r="742" spans="1:71" s="261" customFormat="1" ht="15">
      <c r="A742" s="657" t="s">
        <v>640</v>
      </c>
      <c r="B742" s="210"/>
      <c r="C742" s="514"/>
      <c r="D742" s="514"/>
      <c r="E742" s="210"/>
      <c r="F742" s="210"/>
      <c r="G742" s="210"/>
      <c r="H742" s="210"/>
      <c r="I742" s="210"/>
      <c r="J742" s="210"/>
      <c r="K742" s="210"/>
      <c r="L742" s="210"/>
      <c r="M742" s="210"/>
      <c r="N742" s="210"/>
      <c r="O742" s="210"/>
      <c r="P742" s="210"/>
      <c r="Q742" s="210"/>
      <c r="R742" s="210"/>
      <c r="S742" s="210"/>
      <c r="T742" s="210"/>
      <c r="U742" s="210"/>
      <c r="V742" s="210"/>
      <c r="W742" s="210"/>
      <c r="X742" s="210"/>
      <c r="Y742" s="210"/>
      <c r="Z742" s="210"/>
      <c r="AA742" s="210"/>
      <c r="AB742" s="210"/>
      <c r="AC742" s="210"/>
      <c r="AD742" s="210"/>
      <c r="AE742" s="210"/>
      <c r="AF742" s="210"/>
      <c r="AG742" s="210"/>
      <c r="AH742" s="210"/>
      <c r="AI742" s="210"/>
      <c r="AJ742" s="210"/>
      <c r="AK742" s="210"/>
      <c r="AL742" s="210"/>
      <c r="AM742" s="210"/>
      <c r="AN742" s="210"/>
      <c r="AO742" s="210"/>
      <c r="AP742" s="210"/>
      <c r="AQ742" s="210"/>
      <c r="AR742" s="210"/>
      <c r="AS742" s="210"/>
      <c r="AT742" s="210"/>
      <c r="AU742" s="210"/>
      <c r="AV742" s="210"/>
      <c r="AW742" s="210"/>
      <c r="AX742" s="210"/>
      <c r="AY742" s="210"/>
      <c r="AZ742" s="210"/>
      <c r="BA742" s="210"/>
      <c r="BB742" s="210"/>
      <c r="BC742" s="210"/>
      <c r="BD742" s="210"/>
      <c r="BE742" s="210"/>
      <c r="BF742" s="210"/>
      <c r="BG742" s="210"/>
      <c r="BH742" s="553"/>
      <c r="BI742" s="210"/>
      <c r="BJ742" s="210"/>
      <c r="BK742" s="210"/>
      <c r="BL742" s="210"/>
      <c r="BM742" s="210"/>
      <c r="BN742" s="210"/>
      <c r="BO742" s="210"/>
      <c r="BP742" s="210"/>
      <c r="BQ742" s="210"/>
      <c r="BR742" s="210"/>
      <c r="BS742" s="265"/>
    </row>
    <row r="743" spans="1:71" s="261" customFormat="1" ht="15">
      <c r="A743" s="657" t="s">
        <v>641</v>
      </c>
      <c r="B743" s="210"/>
      <c r="C743" s="514"/>
      <c r="D743" s="514"/>
      <c r="E743" s="210"/>
      <c r="F743" s="210"/>
      <c r="G743" s="210"/>
      <c r="H743" s="210"/>
      <c r="I743" s="210"/>
      <c r="J743" s="210"/>
      <c r="K743" s="210"/>
      <c r="L743" s="210"/>
      <c r="M743" s="210"/>
      <c r="N743" s="210"/>
      <c r="O743" s="210"/>
      <c r="P743" s="210"/>
      <c r="Q743" s="210"/>
      <c r="R743" s="210"/>
      <c r="S743" s="210"/>
      <c r="T743" s="210"/>
      <c r="U743" s="210"/>
      <c r="V743" s="210"/>
      <c r="W743" s="210"/>
      <c r="X743" s="210"/>
      <c r="Y743" s="210"/>
      <c r="Z743" s="210"/>
      <c r="AA743" s="210"/>
      <c r="AB743" s="210"/>
      <c r="AC743" s="210"/>
      <c r="AD743" s="210"/>
      <c r="AE743" s="210"/>
      <c r="AF743" s="210"/>
      <c r="AG743" s="210"/>
      <c r="AH743" s="210"/>
      <c r="AI743" s="210"/>
      <c r="AJ743" s="210"/>
      <c r="AK743" s="210"/>
      <c r="AL743" s="210"/>
      <c r="AM743" s="210"/>
      <c r="AN743" s="210"/>
      <c r="AO743" s="210"/>
      <c r="AP743" s="210"/>
      <c r="AQ743" s="210"/>
      <c r="AR743" s="210"/>
      <c r="AS743" s="210"/>
      <c r="AT743" s="210"/>
      <c r="AU743" s="210"/>
      <c r="AV743" s="210"/>
      <c r="AW743" s="210"/>
      <c r="AX743" s="210"/>
      <c r="AY743" s="210"/>
      <c r="AZ743" s="210"/>
      <c r="BA743" s="210"/>
      <c r="BB743" s="210"/>
      <c r="BC743" s="210"/>
      <c r="BD743" s="210"/>
      <c r="BE743" s="210"/>
      <c r="BF743" s="210"/>
      <c r="BG743" s="210"/>
      <c r="BH743" s="553"/>
      <c r="BI743" s="210"/>
      <c r="BJ743" s="210"/>
      <c r="BK743" s="210"/>
      <c r="BL743" s="210"/>
      <c r="BM743" s="210"/>
      <c r="BN743" s="210"/>
      <c r="BO743" s="210"/>
      <c r="BP743" s="210"/>
      <c r="BQ743" s="210"/>
      <c r="BR743" s="210"/>
      <c r="BS743" s="265"/>
    </row>
    <row r="744" spans="1:71" s="261" customFormat="1" ht="15">
      <c r="A744" s="657" t="s">
        <v>642</v>
      </c>
      <c r="B744" s="210"/>
      <c r="C744" s="514"/>
      <c r="D744" s="514"/>
      <c r="E744" s="210"/>
      <c r="F744" s="210"/>
      <c r="G744" s="210"/>
      <c r="H744" s="210"/>
      <c r="I744" s="210"/>
      <c r="J744" s="210"/>
      <c r="K744" s="210"/>
      <c r="L744" s="210"/>
      <c r="M744" s="210"/>
      <c r="N744" s="210"/>
      <c r="O744" s="210"/>
      <c r="P744" s="210"/>
      <c r="Q744" s="210"/>
      <c r="R744" s="210"/>
      <c r="S744" s="210"/>
      <c r="T744" s="210"/>
      <c r="U744" s="210"/>
      <c r="V744" s="210"/>
      <c r="W744" s="210"/>
      <c r="X744" s="210"/>
      <c r="Y744" s="210"/>
      <c r="Z744" s="210"/>
      <c r="AA744" s="210"/>
      <c r="AB744" s="210"/>
      <c r="AC744" s="210"/>
      <c r="AD744" s="210"/>
      <c r="AE744" s="210"/>
      <c r="AF744" s="210"/>
      <c r="AG744" s="210"/>
      <c r="AH744" s="210"/>
      <c r="AI744" s="210"/>
      <c r="AJ744" s="210"/>
      <c r="AK744" s="210"/>
      <c r="AL744" s="210"/>
      <c r="AM744" s="210"/>
      <c r="AN744" s="210"/>
      <c r="AO744" s="210"/>
      <c r="AP744" s="210"/>
      <c r="AQ744" s="210"/>
      <c r="AR744" s="210"/>
      <c r="AS744" s="210"/>
      <c r="AT744" s="210"/>
      <c r="AU744" s="210"/>
      <c r="AV744" s="210"/>
      <c r="AW744" s="210"/>
      <c r="AX744" s="210"/>
      <c r="AY744" s="210"/>
      <c r="AZ744" s="210"/>
      <c r="BA744" s="210"/>
      <c r="BB744" s="210"/>
      <c r="BC744" s="210"/>
      <c r="BD744" s="210"/>
      <c r="BE744" s="210"/>
      <c r="BF744" s="210"/>
      <c r="BG744" s="210"/>
      <c r="BH744" s="553"/>
      <c r="BI744" s="210"/>
      <c r="BJ744" s="210"/>
      <c r="BK744" s="210"/>
      <c r="BL744" s="210"/>
      <c r="BM744" s="210"/>
      <c r="BN744" s="210"/>
      <c r="BO744" s="210"/>
      <c r="BP744" s="210"/>
      <c r="BQ744" s="210"/>
      <c r="BR744" s="210"/>
      <c r="BS744" s="265"/>
    </row>
    <row r="745" spans="1:71" s="261" customFormat="1" ht="15">
      <c r="A745" s="657" t="s">
        <v>643</v>
      </c>
      <c r="B745" s="210"/>
      <c r="C745" s="514"/>
      <c r="D745" s="514"/>
      <c r="E745" s="210"/>
      <c r="F745" s="210"/>
      <c r="G745" s="210"/>
      <c r="H745" s="210"/>
      <c r="I745" s="210"/>
      <c r="J745" s="210"/>
      <c r="K745" s="210"/>
      <c r="L745" s="210"/>
      <c r="M745" s="210"/>
      <c r="N745" s="210"/>
      <c r="O745" s="210"/>
      <c r="P745" s="210"/>
      <c r="Q745" s="210"/>
      <c r="R745" s="210"/>
      <c r="S745" s="210"/>
      <c r="T745" s="210"/>
      <c r="U745" s="210"/>
      <c r="V745" s="210"/>
      <c r="W745" s="210"/>
      <c r="X745" s="210"/>
      <c r="Y745" s="210"/>
      <c r="Z745" s="210"/>
      <c r="AA745" s="210"/>
      <c r="AB745" s="210"/>
      <c r="AC745" s="210"/>
      <c r="AD745" s="210"/>
      <c r="AE745" s="210"/>
      <c r="AF745" s="210"/>
      <c r="AG745" s="210"/>
      <c r="AH745" s="210"/>
      <c r="AI745" s="210"/>
      <c r="AJ745" s="210"/>
      <c r="AK745" s="210"/>
      <c r="AL745" s="210"/>
      <c r="AM745" s="210"/>
      <c r="AN745" s="210"/>
      <c r="AO745" s="210"/>
      <c r="AP745" s="210"/>
      <c r="AQ745" s="210"/>
      <c r="AR745" s="210"/>
      <c r="AS745" s="210"/>
      <c r="AT745" s="210"/>
      <c r="AU745" s="210"/>
      <c r="AV745" s="210"/>
      <c r="AW745" s="210"/>
      <c r="AX745" s="210"/>
      <c r="AY745" s="210"/>
      <c r="AZ745" s="210"/>
      <c r="BA745" s="210"/>
      <c r="BB745" s="210"/>
      <c r="BC745" s="210"/>
      <c r="BD745" s="210"/>
      <c r="BE745" s="210"/>
      <c r="BF745" s="210"/>
      <c r="BG745" s="210"/>
      <c r="BH745" s="553"/>
      <c r="BI745" s="210"/>
      <c r="BJ745" s="210"/>
      <c r="BK745" s="210"/>
      <c r="BL745" s="210"/>
      <c r="BM745" s="210"/>
      <c r="BN745" s="210"/>
      <c r="BO745" s="210"/>
      <c r="BP745" s="210"/>
      <c r="BQ745" s="210"/>
      <c r="BR745" s="210"/>
      <c r="BS745" s="265"/>
    </row>
    <row r="746" spans="1:71" s="261" customFormat="1" ht="15">
      <c r="A746" s="657" t="s">
        <v>644</v>
      </c>
      <c r="B746" s="210"/>
      <c r="C746" s="514"/>
      <c r="D746" s="514"/>
      <c r="E746" s="210"/>
      <c r="F746" s="210"/>
      <c r="G746" s="210"/>
      <c r="H746" s="210"/>
      <c r="I746" s="210"/>
      <c r="J746" s="210"/>
      <c r="K746" s="210"/>
      <c r="L746" s="210"/>
      <c r="M746" s="210"/>
      <c r="N746" s="210"/>
      <c r="O746" s="210"/>
      <c r="P746" s="210"/>
      <c r="Q746" s="210"/>
      <c r="R746" s="210"/>
      <c r="S746" s="210"/>
      <c r="T746" s="210"/>
      <c r="U746" s="210"/>
      <c r="V746" s="210"/>
      <c r="W746" s="210"/>
      <c r="X746" s="210"/>
      <c r="Y746" s="210"/>
      <c r="Z746" s="210"/>
      <c r="AA746" s="210"/>
      <c r="AB746" s="210"/>
      <c r="AC746" s="210"/>
      <c r="AD746" s="210"/>
      <c r="AE746" s="210"/>
      <c r="AF746" s="210"/>
      <c r="AG746" s="210"/>
      <c r="AH746" s="210"/>
      <c r="AI746" s="210"/>
      <c r="AJ746" s="210"/>
      <c r="AK746" s="210"/>
      <c r="AL746" s="210"/>
      <c r="AM746" s="210"/>
      <c r="AN746" s="210"/>
      <c r="AO746" s="210"/>
      <c r="AP746" s="210"/>
      <c r="AQ746" s="210"/>
      <c r="AR746" s="210"/>
      <c r="AS746" s="210"/>
      <c r="AT746" s="210"/>
      <c r="AU746" s="210"/>
      <c r="AV746" s="210"/>
      <c r="AW746" s="210"/>
      <c r="AX746" s="210"/>
      <c r="AY746" s="210"/>
      <c r="AZ746" s="210"/>
      <c r="BA746" s="210"/>
      <c r="BB746" s="210"/>
      <c r="BC746" s="210"/>
      <c r="BD746" s="210"/>
      <c r="BE746" s="210"/>
      <c r="BF746" s="210"/>
      <c r="BG746" s="210"/>
      <c r="BH746" s="553"/>
      <c r="BI746" s="210"/>
      <c r="BJ746" s="210"/>
      <c r="BK746" s="210"/>
      <c r="BL746" s="210"/>
      <c r="BM746" s="210"/>
      <c r="BN746" s="210"/>
      <c r="BO746" s="210"/>
      <c r="BP746" s="210"/>
      <c r="BQ746" s="210"/>
      <c r="BR746" s="210"/>
      <c r="BS746" s="265"/>
    </row>
    <row r="747" spans="1:71" s="261" customFormat="1" ht="15">
      <c r="A747" s="657" t="s">
        <v>645</v>
      </c>
      <c r="B747" s="210"/>
      <c r="C747" s="514"/>
      <c r="D747" s="514"/>
      <c r="E747" s="210"/>
      <c r="F747" s="210"/>
      <c r="G747" s="210"/>
      <c r="H747" s="210"/>
      <c r="I747" s="210"/>
      <c r="J747" s="210"/>
      <c r="K747" s="210"/>
      <c r="L747" s="210"/>
      <c r="M747" s="210"/>
      <c r="N747" s="210"/>
      <c r="O747" s="210"/>
      <c r="P747" s="210"/>
      <c r="Q747" s="210"/>
      <c r="R747" s="210"/>
      <c r="S747" s="210"/>
      <c r="T747" s="210"/>
      <c r="U747" s="210"/>
      <c r="V747" s="210"/>
      <c r="W747" s="210"/>
      <c r="X747" s="210"/>
      <c r="Y747" s="210"/>
      <c r="Z747" s="210"/>
      <c r="AA747" s="210"/>
      <c r="AB747" s="210"/>
      <c r="AC747" s="210"/>
      <c r="AD747" s="210"/>
      <c r="AE747" s="210"/>
      <c r="AF747" s="210"/>
      <c r="AG747" s="210"/>
      <c r="AH747" s="210"/>
      <c r="AI747" s="210"/>
      <c r="AJ747" s="210"/>
      <c r="AK747" s="210"/>
      <c r="AL747" s="210"/>
      <c r="AM747" s="210"/>
      <c r="AN747" s="210"/>
      <c r="AO747" s="210"/>
      <c r="AP747" s="210"/>
      <c r="AQ747" s="210"/>
      <c r="AR747" s="210"/>
      <c r="AS747" s="210"/>
      <c r="AT747" s="210"/>
      <c r="AU747" s="210"/>
      <c r="AV747" s="210"/>
      <c r="AW747" s="210"/>
      <c r="AX747" s="210"/>
      <c r="AY747" s="210"/>
      <c r="AZ747" s="210"/>
      <c r="BA747" s="210"/>
      <c r="BB747" s="210"/>
      <c r="BC747" s="210"/>
      <c r="BD747" s="210"/>
      <c r="BE747" s="210"/>
      <c r="BF747" s="210"/>
      <c r="BG747" s="210"/>
      <c r="BH747" s="553"/>
      <c r="BI747" s="210"/>
      <c r="BJ747" s="210"/>
      <c r="BK747" s="210"/>
      <c r="BL747" s="210"/>
      <c r="BM747" s="210"/>
      <c r="BN747" s="210"/>
      <c r="BO747" s="210"/>
      <c r="BP747" s="210"/>
      <c r="BQ747" s="210"/>
      <c r="BR747" s="210"/>
      <c r="BS747" s="265"/>
    </row>
    <row r="748" spans="1:71" s="261" customFormat="1" ht="15">
      <c r="A748" s="657" t="s">
        <v>646</v>
      </c>
      <c r="B748" s="210"/>
      <c r="C748" s="514"/>
      <c r="D748" s="514"/>
      <c r="E748" s="210"/>
      <c r="F748" s="210"/>
      <c r="G748" s="210"/>
      <c r="H748" s="210"/>
      <c r="I748" s="210"/>
      <c r="J748" s="210"/>
      <c r="K748" s="210"/>
      <c r="L748" s="210"/>
      <c r="M748" s="210"/>
      <c r="N748" s="210"/>
      <c r="O748" s="210"/>
      <c r="P748" s="210"/>
      <c r="Q748" s="210"/>
      <c r="R748" s="210"/>
      <c r="S748" s="210"/>
      <c r="T748" s="210"/>
      <c r="U748" s="210"/>
      <c r="V748" s="210"/>
      <c r="W748" s="210"/>
      <c r="X748" s="210"/>
      <c r="Y748" s="210"/>
      <c r="Z748" s="210"/>
      <c r="AA748" s="210"/>
      <c r="AB748" s="210"/>
      <c r="AC748" s="210"/>
      <c r="AD748" s="210"/>
      <c r="AE748" s="210"/>
      <c r="AF748" s="210"/>
      <c r="AG748" s="210"/>
      <c r="AH748" s="210"/>
      <c r="AI748" s="210"/>
      <c r="AJ748" s="210"/>
      <c r="AK748" s="210"/>
      <c r="AL748" s="210"/>
      <c r="AM748" s="210"/>
      <c r="AN748" s="210"/>
      <c r="AO748" s="210"/>
      <c r="AP748" s="210"/>
      <c r="AQ748" s="210"/>
      <c r="AR748" s="210"/>
      <c r="AS748" s="210"/>
      <c r="AT748" s="210"/>
      <c r="AU748" s="210"/>
      <c r="AV748" s="210"/>
      <c r="AW748" s="210"/>
      <c r="AX748" s="210"/>
      <c r="AY748" s="210"/>
      <c r="AZ748" s="210"/>
      <c r="BA748" s="210"/>
      <c r="BB748" s="210"/>
      <c r="BC748" s="210"/>
      <c r="BD748" s="210"/>
      <c r="BE748" s="210"/>
      <c r="BF748" s="210"/>
      <c r="BG748" s="210"/>
      <c r="BH748" s="553"/>
      <c r="BI748" s="210"/>
      <c r="BJ748" s="210"/>
      <c r="BK748" s="210"/>
      <c r="BL748" s="210"/>
      <c r="BM748" s="210"/>
      <c r="BN748" s="210"/>
      <c r="BO748" s="210"/>
      <c r="BP748" s="210"/>
      <c r="BQ748" s="210"/>
      <c r="BR748" s="210"/>
      <c r="BS748" s="265"/>
    </row>
    <row r="749" spans="1:71" s="261" customFormat="1" ht="15">
      <c r="A749" s="657" t="s">
        <v>647</v>
      </c>
      <c r="B749" s="210"/>
      <c r="C749" s="514"/>
      <c r="D749" s="514"/>
      <c r="E749" s="210"/>
      <c r="F749" s="210"/>
      <c r="G749" s="210"/>
      <c r="H749" s="210"/>
      <c r="I749" s="210"/>
      <c r="J749" s="210"/>
      <c r="K749" s="210"/>
      <c r="L749" s="210"/>
      <c r="M749" s="210"/>
      <c r="N749" s="210"/>
      <c r="O749" s="210"/>
      <c r="P749" s="210"/>
      <c r="Q749" s="210"/>
      <c r="R749" s="210"/>
      <c r="S749" s="210"/>
      <c r="T749" s="210"/>
      <c r="U749" s="210"/>
      <c r="V749" s="210"/>
      <c r="W749" s="210"/>
      <c r="X749" s="210"/>
      <c r="Y749" s="210"/>
      <c r="Z749" s="210"/>
      <c r="AA749" s="210"/>
      <c r="AB749" s="210"/>
      <c r="AC749" s="210"/>
      <c r="AD749" s="210"/>
      <c r="AE749" s="210"/>
      <c r="AF749" s="210"/>
      <c r="AG749" s="210"/>
      <c r="AH749" s="210"/>
      <c r="AI749" s="210"/>
      <c r="AJ749" s="210"/>
      <c r="AK749" s="210"/>
      <c r="AL749" s="210"/>
      <c r="AM749" s="210"/>
      <c r="AN749" s="210"/>
      <c r="AO749" s="210"/>
      <c r="AP749" s="210"/>
      <c r="AQ749" s="210"/>
      <c r="AR749" s="210"/>
      <c r="AS749" s="210"/>
      <c r="AT749" s="210"/>
      <c r="AU749" s="210"/>
      <c r="AV749" s="210"/>
      <c r="AW749" s="210"/>
      <c r="AX749" s="210"/>
      <c r="AY749" s="210"/>
      <c r="AZ749" s="210"/>
      <c r="BA749" s="210"/>
      <c r="BB749" s="210"/>
      <c r="BC749" s="210"/>
      <c r="BD749" s="210"/>
      <c r="BE749" s="210"/>
      <c r="BF749" s="210"/>
      <c r="BG749" s="210"/>
      <c r="BH749" s="553"/>
      <c r="BI749" s="210"/>
      <c r="BJ749" s="210"/>
      <c r="BK749" s="210"/>
      <c r="BL749" s="210"/>
      <c r="BM749" s="210"/>
      <c r="BN749" s="210"/>
      <c r="BO749" s="210"/>
      <c r="BP749" s="210"/>
      <c r="BQ749" s="210"/>
      <c r="BR749" s="210"/>
      <c r="BS749" s="265"/>
    </row>
    <row r="750" spans="1:71" s="261" customFormat="1" ht="15">
      <c r="A750" s="657" t="s">
        <v>648</v>
      </c>
      <c r="B750" s="210"/>
      <c r="C750" s="514"/>
      <c r="D750" s="514"/>
      <c r="E750" s="210"/>
      <c r="F750" s="210"/>
      <c r="G750" s="210"/>
      <c r="H750" s="210"/>
      <c r="I750" s="210"/>
      <c r="J750" s="210"/>
      <c r="K750" s="210"/>
      <c r="L750" s="210"/>
      <c r="M750" s="210"/>
      <c r="N750" s="210"/>
      <c r="O750" s="210"/>
      <c r="P750" s="210"/>
      <c r="Q750" s="210"/>
      <c r="R750" s="210"/>
      <c r="S750" s="210"/>
      <c r="T750" s="210"/>
      <c r="U750" s="210"/>
      <c r="V750" s="210"/>
      <c r="W750" s="210"/>
      <c r="X750" s="210"/>
      <c r="Y750" s="210"/>
      <c r="Z750" s="210"/>
      <c r="AA750" s="210"/>
      <c r="AB750" s="210"/>
      <c r="AC750" s="210"/>
      <c r="AD750" s="210"/>
      <c r="AE750" s="210"/>
      <c r="AF750" s="210"/>
      <c r="AG750" s="210"/>
      <c r="AH750" s="210"/>
      <c r="AI750" s="210"/>
      <c r="AJ750" s="210"/>
      <c r="AK750" s="210"/>
      <c r="AL750" s="210"/>
      <c r="AM750" s="210"/>
      <c r="AN750" s="210"/>
      <c r="AO750" s="210"/>
      <c r="AP750" s="210"/>
      <c r="AQ750" s="210"/>
      <c r="AR750" s="210"/>
      <c r="AS750" s="210"/>
      <c r="AT750" s="210"/>
      <c r="AU750" s="210"/>
      <c r="AV750" s="210"/>
      <c r="AW750" s="210"/>
      <c r="AX750" s="210"/>
      <c r="AY750" s="210"/>
      <c r="AZ750" s="210"/>
      <c r="BA750" s="210"/>
      <c r="BB750" s="210"/>
      <c r="BC750" s="210"/>
      <c r="BD750" s="210"/>
      <c r="BE750" s="210"/>
      <c r="BF750" s="210"/>
      <c r="BG750" s="210"/>
      <c r="BH750" s="553"/>
      <c r="BI750" s="210"/>
      <c r="BJ750" s="210"/>
      <c r="BK750" s="210"/>
      <c r="BL750" s="210"/>
      <c r="BM750" s="210"/>
      <c r="BN750" s="210"/>
      <c r="BO750" s="210"/>
      <c r="BP750" s="210"/>
      <c r="BQ750" s="210"/>
      <c r="BR750" s="210"/>
      <c r="BS750" s="265"/>
    </row>
    <row r="751" spans="1:71" s="261" customFormat="1" ht="15">
      <c r="A751" s="657" t="s">
        <v>649</v>
      </c>
      <c r="B751" s="210"/>
      <c r="C751" s="514"/>
      <c r="D751" s="514"/>
      <c r="E751" s="210"/>
      <c r="F751" s="210"/>
      <c r="G751" s="210"/>
      <c r="H751" s="210"/>
      <c r="I751" s="210"/>
      <c r="J751" s="210"/>
      <c r="K751" s="210"/>
      <c r="L751" s="210"/>
      <c r="M751" s="210"/>
      <c r="N751" s="210"/>
      <c r="O751" s="210"/>
      <c r="P751" s="210"/>
      <c r="Q751" s="210"/>
      <c r="R751" s="210"/>
      <c r="S751" s="210"/>
      <c r="T751" s="210"/>
      <c r="U751" s="210"/>
      <c r="V751" s="210"/>
      <c r="W751" s="210"/>
      <c r="X751" s="210"/>
      <c r="Y751" s="210"/>
      <c r="Z751" s="210"/>
      <c r="AA751" s="210"/>
      <c r="AB751" s="210"/>
      <c r="AC751" s="210"/>
      <c r="AD751" s="210"/>
      <c r="AE751" s="210"/>
      <c r="AF751" s="210"/>
      <c r="AG751" s="210"/>
      <c r="AH751" s="210"/>
      <c r="AI751" s="210"/>
      <c r="AJ751" s="210"/>
      <c r="AK751" s="210"/>
      <c r="AL751" s="210"/>
      <c r="AM751" s="210"/>
      <c r="AN751" s="210"/>
      <c r="AO751" s="210"/>
      <c r="AP751" s="210"/>
      <c r="AQ751" s="210"/>
      <c r="AR751" s="210"/>
      <c r="AS751" s="210"/>
      <c r="AT751" s="210"/>
      <c r="AU751" s="210"/>
      <c r="AV751" s="210"/>
      <c r="AW751" s="210"/>
      <c r="AX751" s="210"/>
      <c r="AY751" s="210"/>
      <c r="AZ751" s="210"/>
      <c r="BA751" s="210"/>
      <c r="BB751" s="210"/>
      <c r="BC751" s="210"/>
      <c r="BD751" s="210"/>
      <c r="BE751" s="210"/>
      <c r="BF751" s="210"/>
      <c r="BG751" s="210"/>
      <c r="BH751" s="553"/>
      <c r="BI751" s="210"/>
      <c r="BJ751" s="210"/>
      <c r="BK751" s="210"/>
      <c r="BL751" s="210"/>
      <c r="BM751" s="210"/>
      <c r="BN751" s="210"/>
      <c r="BO751" s="210"/>
      <c r="BP751" s="210"/>
      <c r="BQ751" s="210"/>
      <c r="BR751" s="210"/>
      <c r="BS751" s="265"/>
    </row>
    <row r="752" spans="1:71" s="261" customFormat="1" ht="15">
      <c r="A752" s="657" t="s">
        <v>650</v>
      </c>
      <c r="B752" s="210"/>
      <c r="C752" s="514"/>
      <c r="D752" s="514"/>
      <c r="E752" s="210"/>
      <c r="F752" s="210"/>
      <c r="G752" s="210"/>
      <c r="H752" s="210"/>
      <c r="I752" s="210"/>
      <c r="J752" s="210"/>
      <c r="K752" s="210"/>
      <c r="L752" s="210"/>
      <c r="M752" s="210"/>
      <c r="N752" s="210"/>
      <c r="O752" s="210"/>
      <c r="P752" s="210"/>
      <c r="Q752" s="210"/>
      <c r="R752" s="210"/>
      <c r="S752" s="210"/>
      <c r="T752" s="210"/>
      <c r="U752" s="210"/>
      <c r="V752" s="210"/>
      <c r="W752" s="210"/>
      <c r="X752" s="210"/>
      <c r="Y752" s="210"/>
      <c r="Z752" s="210"/>
      <c r="AA752" s="210"/>
      <c r="AB752" s="210"/>
      <c r="AC752" s="210"/>
      <c r="AD752" s="210"/>
      <c r="AE752" s="210"/>
      <c r="AF752" s="210"/>
      <c r="AG752" s="210"/>
      <c r="AH752" s="210"/>
      <c r="AI752" s="210"/>
      <c r="AJ752" s="210"/>
      <c r="AK752" s="210"/>
      <c r="AL752" s="210"/>
      <c r="AM752" s="210"/>
      <c r="AN752" s="210"/>
      <c r="AO752" s="210"/>
      <c r="AP752" s="210"/>
      <c r="AQ752" s="210"/>
      <c r="AR752" s="210"/>
      <c r="AS752" s="210"/>
      <c r="AT752" s="210"/>
      <c r="AU752" s="210"/>
      <c r="AV752" s="210"/>
      <c r="AW752" s="210"/>
      <c r="AX752" s="210"/>
      <c r="AY752" s="210"/>
      <c r="AZ752" s="210"/>
      <c r="BA752" s="210"/>
      <c r="BB752" s="210"/>
      <c r="BC752" s="210"/>
      <c r="BD752" s="210"/>
      <c r="BE752" s="210"/>
      <c r="BF752" s="210"/>
      <c r="BG752" s="210"/>
      <c r="BH752" s="553"/>
      <c r="BI752" s="210"/>
      <c r="BJ752" s="210"/>
      <c r="BK752" s="210"/>
      <c r="BL752" s="210"/>
      <c r="BM752" s="210"/>
      <c r="BN752" s="210"/>
      <c r="BO752" s="210"/>
      <c r="BP752" s="210"/>
      <c r="BQ752" s="210"/>
      <c r="BR752" s="210"/>
      <c r="BS752" s="265"/>
    </row>
    <row r="753" spans="1:71" s="261" customFormat="1" ht="15">
      <c r="A753" s="657" t="s">
        <v>651</v>
      </c>
      <c r="B753" s="210"/>
      <c r="C753" s="514"/>
      <c r="D753" s="514"/>
      <c r="E753" s="210"/>
      <c r="F753" s="210"/>
      <c r="G753" s="210"/>
      <c r="H753" s="210"/>
      <c r="I753" s="210"/>
      <c r="J753" s="210"/>
      <c r="K753" s="210"/>
      <c r="L753" s="210"/>
      <c r="M753" s="210"/>
      <c r="N753" s="210"/>
      <c r="O753" s="210"/>
      <c r="P753" s="210"/>
      <c r="Q753" s="210"/>
      <c r="R753" s="210"/>
      <c r="S753" s="210"/>
      <c r="T753" s="210"/>
      <c r="U753" s="210"/>
      <c r="V753" s="210"/>
      <c r="W753" s="210"/>
      <c r="X753" s="210"/>
      <c r="Y753" s="210"/>
      <c r="Z753" s="210"/>
      <c r="AA753" s="210"/>
      <c r="AB753" s="210"/>
      <c r="AC753" s="210"/>
      <c r="AD753" s="210"/>
      <c r="AE753" s="210"/>
      <c r="AF753" s="210"/>
      <c r="AG753" s="210"/>
      <c r="AH753" s="210"/>
      <c r="AI753" s="210"/>
      <c r="AJ753" s="210"/>
      <c r="AK753" s="210"/>
      <c r="AL753" s="210"/>
      <c r="AM753" s="210"/>
      <c r="AN753" s="210"/>
      <c r="AO753" s="210"/>
      <c r="AP753" s="210"/>
      <c r="AQ753" s="210"/>
      <c r="AR753" s="210"/>
      <c r="AS753" s="210"/>
      <c r="AT753" s="210"/>
      <c r="AU753" s="210"/>
      <c r="AV753" s="210"/>
      <c r="AW753" s="210"/>
      <c r="AX753" s="210"/>
      <c r="AY753" s="210"/>
      <c r="AZ753" s="210"/>
      <c r="BA753" s="210"/>
      <c r="BB753" s="210"/>
      <c r="BC753" s="210"/>
      <c r="BD753" s="210"/>
      <c r="BE753" s="210"/>
      <c r="BF753" s="210"/>
      <c r="BG753" s="210"/>
      <c r="BH753" s="553"/>
      <c r="BI753" s="210"/>
      <c r="BJ753" s="210"/>
      <c r="BK753" s="210"/>
      <c r="BL753" s="210"/>
      <c r="BM753" s="210"/>
      <c r="BN753" s="210"/>
      <c r="BO753" s="210"/>
      <c r="BP753" s="210"/>
      <c r="BQ753" s="210"/>
      <c r="BR753" s="210"/>
      <c r="BS753" s="265"/>
    </row>
    <row r="754" spans="1:71" s="261" customFormat="1" ht="15">
      <c r="A754" s="657" t="s">
        <v>652</v>
      </c>
      <c r="B754" s="210"/>
      <c r="C754" s="514"/>
      <c r="D754" s="514"/>
      <c r="E754" s="210"/>
      <c r="F754" s="210"/>
      <c r="G754" s="210"/>
      <c r="H754" s="210"/>
      <c r="I754" s="210"/>
      <c r="J754" s="210"/>
      <c r="K754" s="210"/>
      <c r="L754" s="210"/>
      <c r="M754" s="210"/>
      <c r="N754" s="210"/>
      <c r="O754" s="210"/>
      <c r="P754" s="210"/>
      <c r="Q754" s="210"/>
      <c r="R754" s="210"/>
      <c r="S754" s="210"/>
      <c r="T754" s="210"/>
      <c r="U754" s="210"/>
      <c r="V754" s="210"/>
      <c r="W754" s="210"/>
      <c r="X754" s="210"/>
      <c r="Y754" s="210"/>
      <c r="Z754" s="210"/>
      <c r="AA754" s="210"/>
      <c r="AB754" s="210"/>
      <c r="AC754" s="210"/>
      <c r="AD754" s="210"/>
      <c r="AE754" s="210"/>
      <c r="AF754" s="210"/>
      <c r="AG754" s="210"/>
      <c r="AH754" s="210"/>
      <c r="AI754" s="210"/>
      <c r="AJ754" s="210"/>
      <c r="AK754" s="210"/>
      <c r="AL754" s="210"/>
      <c r="AM754" s="210"/>
      <c r="AN754" s="210"/>
      <c r="AO754" s="210"/>
      <c r="AP754" s="210"/>
      <c r="AQ754" s="210"/>
      <c r="AR754" s="210"/>
      <c r="AS754" s="210"/>
      <c r="AT754" s="210"/>
      <c r="AU754" s="210"/>
      <c r="AV754" s="210"/>
      <c r="AW754" s="210"/>
      <c r="AX754" s="210"/>
      <c r="AY754" s="210"/>
      <c r="AZ754" s="210"/>
      <c r="BA754" s="210"/>
      <c r="BB754" s="210"/>
      <c r="BC754" s="210"/>
      <c r="BD754" s="210"/>
      <c r="BE754" s="210"/>
      <c r="BF754" s="210"/>
      <c r="BG754" s="210"/>
      <c r="BH754" s="553"/>
      <c r="BI754" s="210"/>
      <c r="BJ754" s="210"/>
      <c r="BK754" s="210"/>
      <c r="BL754" s="210"/>
      <c r="BM754" s="210"/>
      <c r="BN754" s="210"/>
      <c r="BO754" s="210"/>
      <c r="BP754" s="210"/>
      <c r="BQ754" s="210"/>
      <c r="BR754" s="210"/>
      <c r="BS754" s="265"/>
    </row>
    <row r="755" spans="1:71" s="261" customFormat="1" ht="15">
      <c r="A755" s="657" t="s">
        <v>653</v>
      </c>
      <c r="B755" s="210"/>
      <c r="C755" s="514"/>
      <c r="D755" s="514"/>
      <c r="E755" s="210"/>
      <c r="F755" s="210"/>
      <c r="G755" s="210"/>
      <c r="H755" s="210"/>
      <c r="I755" s="210"/>
      <c r="J755" s="210"/>
      <c r="K755" s="210"/>
      <c r="L755" s="210"/>
      <c r="M755" s="210"/>
      <c r="N755" s="210"/>
      <c r="O755" s="210"/>
      <c r="P755" s="210"/>
      <c r="Q755" s="210"/>
      <c r="R755" s="210"/>
      <c r="S755" s="210"/>
      <c r="T755" s="210"/>
      <c r="U755" s="210"/>
      <c r="V755" s="210"/>
      <c r="W755" s="210"/>
      <c r="X755" s="210"/>
      <c r="Y755" s="210"/>
      <c r="Z755" s="210"/>
      <c r="AA755" s="210"/>
      <c r="AB755" s="210"/>
      <c r="AC755" s="210"/>
      <c r="AD755" s="210"/>
      <c r="AE755" s="210"/>
      <c r="AF755" s="210"/>
      <c r="AG755" s="210"/>
      <c r="AH755" s="210"/>
      <c r="AI755" s="210"/>
      <c r="AJ755" s="210"/>
      <c r="AK755" s="210"/>
      <c r="AL755" s="210"/>
      <c r="AM755" s="210"/>
      <c r="AN755" s="210"/>
      <c r="AO755" s="210"/>
      <c r="AP755" s="210"/>
      <c r="AQ755" s="210"/>
      <c r="AR755" s="210"/>
      <c r="AS755" s="210"/>
      <c r="AT755" s="210"/>
      <c r="AU755" s="210"/>
      <c r="AV755" s="210"/>
      <c r="AW755" s="210"/>
      <c r="AX755" s="210"/>
      <c r="AY755" s="210"/>
      <c r="AZ755" s="210"/>
      <c r="BA755" s="210"/>
      <c r="BB755" s="210"/>
      <c r="BC755" s="210"/>
      <c r="BD755" s="210"/>
      <c r="BE755" s="210"/>
      <c r="BF755" s="210"/>
      <c r="BG755" s="210"/>
      <c r="BH755" s="553"/>
      <c r="BI755" s="210"/>
      <c r="BJ755" s="210"/>
      <c r="BK755" s="210"/>
      <c r="BL755" s="210"/>
      <c r="BM755" s="210"/>
      <c r="BN755" s="210"/>
      <c r="BO755" s="210"/>
      <c r="BP755" s="210"/>
      <c r="BQ755" s="210"/>
      <c r="BR755" s="210"/>
      <c r="BS755" s="265"/>
    </row>
    <row r="756" spans="1:71" s="261" customFormat="1" ht="15">
      <c r="A756" s="657" t="s">
        <v>654</v>
      </c>
      <c r="B756" s="210"/>
      <c r="C756" s="514"/>
      <c r="D756" s="514"/>
      <c r="E756" s="210"/>
      <c r="F756" s="210"/>
      <c r="G756" s="210"/>
      <c r="H756" s="210"/>
      <c r="I756" s="210"/>
      <c r="J756" s="210"/>
      <c r="K756" s="210"/>
      <c r="L756" s="210"/>
      <c r="M756" s="210"/>
      <c r="N756" s="210"/>
      <c r="O756" s="210"/>
      <c r="P756" s="210"/>
      <c r="Q756" s="210"/>
      <c r="R756" s="210"/>
      <c r="S756" s="210"/>
      <c r="T756" s="210"/>
      <c r="U756" s="210"/>
      <c r="V756" s="210"/>
      <c r="W756" s="210"/>
      <c r="X756" s="210"/>
      <c r="Y756" s="210"/>
      <c r="Z756" s="210"/>
      <c r="AA756" s="210"/>
      <c r="AB756" s="210"/>
      <c r="AC756" s="210"/>
      <c r="AD756" s="210"/>
      <c r="AE756" s="210"/>
      <c r="AF756" s="210"/>
      <c r="AG756" s="210"/>
      <c r="AH756" s="210"/>
      <c r="AI756" s="210"/>
      <c r="AJ756" s="210"/>
      <c r="AK756" s="210"/>
      <c r="AL756" s="210"/>
      <c r="AM756" s="210"/>
      <c r="AN756" s="210"/>
      <c r="AO756" s="210"/>
      <c r="AP756" s="210"/>
      <c r="AQ756" s="210"/>
      <c r="AR756" s="210"/>
      <c r="AS756" s="210"/>
      <c r="AT756" s="210"/>
      <c r="AU756" s="210"/>
      <c r="AV756" s="210"/>
      <c r="AW756" s="210"/>
      <c r="AX756" s="210"/>
      <c r="AY756" s="210"/>
      <c r="AZ756" s="210"/>
      <c r="BA756" s="210"/>
      <c r="BB756" s="210"/>
      <c r="BC756" s="210"/>
      <c r="BD756" s="210"/>
      <c r="BE756" s="210"/>
      <c r="BF756" s="210"/>
      <c r="BG756" s="210"/>
      <c r="BH756" s="553"/>
      <c r="BI756" s="210"/>
      <c r="BJ756" s="210"/>
      <c r="BK756" s="210"/>
      <c r="BL756" s="210"/>
      <c r="BM756" s="210"/>
      <c r="BN756" s="210"/>
      <c r="BO756" s="210"/>
      <c r="BP756" s="210"/>
      <c r="BQ756" s="210"/>
      <c r="BR756" s="210"/>
      <c r="BS756" s="265"/>
    </row>
    <row r="757" spans="1:71" s="261" customFormat="1" ht="15">
      <c r="A757" s="657" t="s">
        <v>655</v>
      </c>
      <c r="B757" s="210"/>
      <c r="C757" s="514"/>
      <c r="D757" s="514"/>
      <c r="E757" s="210"/>
      <c r="F757" s="210"/>
      <c r="G757" s="210"/>
      <c r="H757" s="210"/>
      <c r="I757" s="210"/>
      <c r="J757" s="210"/>
      <c r="K757" s="210"/>
      <c r="L757" s="210"/>
      <c r="M757" s="210"/>
      <c r="N757" s="210"/>
      <c r="O757" s="210"/>
      <c r="P757" s="210"/>
      <c r="Q757" s="210"/>
      <c r="R757" s="210"/>
      <c r="S757" s="210"/>
      <c r="T757" s="210"/>
      <c r="U757" s="210"/>
      <c r="V757" s="210"/>
      <c r="W757" s="210"/>
      <c r="X757" s="210"/>
      <c r="Y757" s="210"/>
      <c r="Z757" s="210"/>
      <c r="AA757" s="210"/>
      <c r="AB757" s="210"/>
      <c r="AC757" s="210"/>
      <c r="AD757" s="210"/>
      <c r="AE757" s="210"/>
      <c r="AF757" s="210"/>
      <c r="AG757" s="210"/>
      <c r="AH757" s="210"/>
      <c r="AI757" s="210"/>
      <c r="AJ757" s="210"/>
      <c r="AK757" s="210"/>
      <c r="AL757" s="210"/>
      <c r="AM757" s="210"/>
      <c r="AN757" s="210"/>
      <c r="AO757" s="210"/>
      <c r="AP757" s="210"/>
      <c r="AQ757" s="210"/>
      <c r="AR757" s="210"/>
      <c r="AS757" s="210"/>
      <c r="AT757" s="210"/>
      <c r="AU757" s="210"/>
      <c r="AV757" s="210"/>
      <c r="AW757" s="210"/>
      <c r="AX757" s="210"/>
      <c r="AY757" s="210"/>
      <c r="AZ757" s="210"/>
      <c r="BA757" s="210"/>
      <c r="BB757" s="210"/>
      <c r="BC757" s="210"/>
      <c r="BD757" s="210"/>
      <c r="BE757" s="210"/>
      <c r="BF757" s="210"/>
      <c r="BG757" s="210"/>
      <c r="BH757" s="553"/>
      <c r="BI757" s="210"/>
      <c r="BJ757" s="210"/>
      <c r="BK757" s="210"/>
      <c r="BL757" s="210"/>
      <c r="BM757" s="210"/>
      <c r="BN757" s="210"/>
      <c r="BO757" s="210"/>
      <c r="BP757" s="210"/>
      <c r="BQ757" s="210"/>
      <c r="BR757" s="210"/>
      <c r="BS757" s="265"/>
    </row>
    <row r="758" spans="1:71" s="261" customFormat="1" ht="15">
      <c r="A758" s="657" t="s">
        <v>656</v>
      </c>
      <c r="B758" s="210"/>
      <c r="C758" s="514"/>
      <c r="D758" s="514"/>
      <c r="E758" s="210"/>
      <c r="F758" s="210"/>
      <c r="G758" s="210"/>
      <c r="H758" s="210"/>
      <c r="I758" s="210"/>
      <c r="J758" s="210"/>
      <c r="K758" s="210"/>
      <c r="L758" s="210"/>
      <c r="M758" s="210"/>
      <c r="N758" s="210"/>
      <c r="O758" s="210"/>
      <c r="P758" s="210"/>
      <c r="Q758" s="210"/>
      <c r="R758" s="210"/>
      <c r="S758" s="210"/>
      <c r="T758" s="210"/>
      <c r="U758" s="210"/>
      <c r="V758" s="210"/>
      <c r="W758" s="210"/>
      <c r="X758" s="210"/>
      <c r="Y758" s="210"/>
      <c r="Z758" s="210"/>
      <c r="AA758" s="210"/>
      <c r="AB758" s="210"/>
      <c r="AC758" s="210"/>
      <c r="AD758" s="210"/>
      <c r="AE758" s="210"/>
      <c r="AF758" s="210"/>
      <c r="AG758" s="210"/>
      <c r="AH758" s="210"/>
      <c r="AI758" s="210"/>
      <c r="AJ758" s="210"/>
      <c r="AK758" s="210"/>
      <c r="AL758" s="210"/>
      <c r="AM758" s="210"/>
      <c r="AN758" s="210"/>
      <c r="AO758" s="210"/>
      <c r="AP758" s="210"/>
      <c r="AQ758" s="210"/>
      <c r="AR758" s="210"/>
      <c r="AS758" s="210"/>
      <c r="AT758" s="210"/>
      <c r="AU758" s="210"/>
      <c r="AV758" s="210"/>
      <c r="AW758" s="210"/>
      <c r="AX758" s="210"/>
      <c r="AY758" s="210"/>
      <c r="AZ758" s="210"/>
      <c r="BA758" s="210"/>
      <c r="BB758" s="210"/>
      <c r="BC758" s="210"/>
      <c r="BD758" s="210"/>
      <c r="BE758" s="210"/>
      <c r="BF758" s="210"/>
      <c r="BG758" s="210"/>
      <c r="BH758" s="553"/>
      <c r="BI758" s="210"/>
      <c r="BJ758" s="210"/>
      <c r="BK758" s="210"/>
      <c r="BL758" s="210"/>
      <c r="BM758" s="210"/>
      <c r="BN758" s="210"/>
      <c r="BO758" s="210"/>
      <c r="BP758" s="210"/>
      <c r="BQ758" s="210"/>
      <c r="BR758" s="210"/>
      <c r="BS758" s="265"/>
    </row>
    <row r="759" spans="1:71" s="261" customFormat="1" ht="15">
      <c r="A759" s="657" t="s">
        <v>657</v>
      </c>
      <c r="B759" s="210"/>
      <c r="C759" s="514"/>
      <c r="D759" s="514"/>
      <c r="E759" s="210"/>
      <c r="F759" s="210"/>
      <c r="G759" s="210"/>
      <c r="H759" s="210"/>
      <c r="I759" s="210"/>
      <c r="J759" s="210"/>
      <c r="K759" s="210"/>
      <c r="L759" s="210"/>
      <c r="M759" s="210"/>
      <c r="N759" s="210"/>
      <c r="O759" s="210"/>
      <c r="P759" s="210"/>
      <c r="Q759" s="210"/>
      <c r="R759" s="210"/>
      <c r="S759" s="210"/>
      <c r="T759" s="210"/>
      <c r="U759" s="210"/>
      <c r="V759" s="210"/>
      <c r="W759" s="210"/>
      <c r="X759" s="210"/>
      <c r="Y759" s="210"/>
      <c r="Z759" s="210"/>
      <c r="AA759" s="210"/>
      <c r="AB759" s="210"/>
      <c r="AC759" s="210"/>
      <c r="AD759" s="210"/>
      <c r="AE759" s="210"/>
      <c r="AF759" s="210"/>
      <c r="AG759" s="210"/>
      <c r="AH759" s="210"/>
      <c r="AI759" s="210"/>
      <c r="AJ759" s="210"/>
      <c r="AK759" s="210"/>
      <c r="AL759" s="210"/>
      <c r="AM759" s="210"/>
      <c r="AN759" s="210"/>
      <c r="AO759" s="210"/>
      <c r="AP759" s="210"/>
      <c r="AQ759" s="210"/>
      <c r="AR759" s="210"/>
      <c r="AS759" s="210"/>
      <c r="AT759" s="210"/>
      <c r="AU759" s="210"/>
      <c r="AV759" s="210"/>
      <c r="AW759" s="210"/>
      <c r="AX759" s="210"/>
      <c r="AY759" s="210"/>
      <c r="AZ759" s="210"/>
      <c r="BA759" s="210"/>
      <c r="BB759" s="210"/>
      <c r="BC759" s="210"/>
      <c r="BD759" s="210"/>
      <c r="BE759" s="210"/>
      <c r="BF759" s="210"/>
      <c r="BG759" s="210"/>
      <c r="BH759" s="553"/>
      <c r="BI759" s="210"/>
      <c r="BJ759" s="210"/>
      <c r="BK759" s="210"/>
      <c r="BL759" s="210"/>
      <c r="BM759" s="210"/>
      <c r="BN759" s="210"/>
      <c r="BO759" s="210"/>
      <c r="BP759" s="210"/>
      <c r="BQ759" s="210"/>
      <c r="BR759" s="210"/>
      <c r="BS759" s="265"/>
    </row>
    <row r="760" spans="1:71" s="261" customFormat="1" ht="15">
      <c r="A760" s="657" t="s">
        <v>658</v>
      </c>
      <c r="B760" s="210"/>
      <c r="C760" s="514"/>
      <c r="D760" s="514"/>
      <c r="E760" s="210"/>
      <c r="F760" s="210"/>
      <c r="G760" s="210"/>
      <c r="H760" s="210"/>
      <c r="I760" s="210"/>
      <c r="J760" s="210"/>
      <c r="K760" s="210"/>
      <c r="L760" s="210"/>
      <c r="M760" s="210"/>
      <c r="N760" s="210"/>
      <c r="O760" s="210"/>
      <c r="P760" s="210"/>
      <c r="Q760" s="210"/>
      <c r="R760" s="210"/>
      <c r="S760" s="210"/>
      <c r="T760" s="210"/>
      <c r="U760" s="210"/>
      <c r="V760" s="210"/>
      <c r="W760" s="210"/>
      <c r="X760" s="210"/>
      <c r="Y760" s="210"/>
      <c r="Z760" s="210"/>
      <c r="AA760" s="210"/>
      <c r="AB760" s="210"/>
      <c r="AC760" s="210"/>
      <c r="AD760" s="210"/>
      <c r="AE760" s="210"/>
      <c r="AF760" s="210"/>
      <c r="AG760" s="210"/>
      <c r="AH760" s="210"/>
      <c r="AI760" s="210"/>
      <c r="AJ760" s="210"/>
      <c r="AK760" s="210"/>
      <c r="AL760" s="210"/>
      <c r="AM760" s="210"/>
      <c r="AN760" s="210"/>
      <c r="AO760" s="210"/>
      <c r="AP760" s="210"/>
      <c r="AQ760" s="210"/>
      <c r="AR760" s="210"/>
      <c r="AS760" s="210"/>
      <c r="AT760" s="210"/>
      <c r="AU760" s="210"/>
      <c r="AV760" s="210"/>
      <c r="AW760" s="210"/>
      <c r="AX760" s="210"/>
      <c r="AY760" s="210"/>
      <c r="AZ760" s="210"/>
      <c r="BA760" s="210"/>
      <c r="BB760" s="210"/>
      <c r="BC760" s="210"/>
      <c r="BD760" s="210"/>
      <c r="BE760" s="210"/>
      <c r="BF760" s="210"/>
      <c r="BG760" s="210"/>
      <c r="BH760" s="553"/>
      <c r="BI760" s="210"/>
      <c r="BJ760" s="210"/>
      <c r="BK760" s="210"/>
      <c r="BL760" s="210"/>
      <c r="BM760" s="210"/>
      <c r="BN760" s="210"/>
      <c r="BO760" s="210"/>
      <c r="BP760" s="210"/>
      <c r="BQ760" s="210"/>
      <c r="BR760" s="210"/>
      <c r="BS760" s="265"/>
    </row>
    <row r="761" spans="1:71" s="261" customFormat="1" ht="15">
      <c r="A761" s="657" t="s">
        <v>659</v>
      </c>
      <c r="B761" s="210"/>
      <c r="C761" s="514"/>
      <c r="D761" s="514"/>
      <c r="E761" s="210"/>
      <c r="F761" s="210"/>
      <c r="G761" s="210"/>
      <c r="H761" s="210"/>
      <c r="I761" s="210"/>
      <c r="J761" s="210"/>
      <c r="K761" s="210"/>
      <c r="L761" s="210"/>
      <c r="M761" s="210"/>
      <c r="N761" s="210"/>
      <c r="O761" s="210"/>
      <c r="P761" s="210"/>
      <c r="Q761" s="210"/>
      <c r="R761" s="210"/>
      <c r="S761" s="210"/>
      <c r="T761" s="210"/>
      <c r="U761" s="210"/>
      <c r="V761" s="210"/>
      <c r="W761" s="210"/>
      <c r="X761" s="210"/>
      <c r="Y761" s="210"/>
      <c r="Z761" s="210"/>
      <c r="AA761" s="210"/>
      <c r="AB761" s="210"/>
      <c r="AC761" s="210"/>
      <c r="AD761" s="210"/>
      <c r="AE761" s="210"/>
      <c r="AF761" s="210"/>
      <c r="AG761" s="210"/>
      <c r="AH761" s="210"/>
      <c r="AI761" s="210"/>
      <c r="AJ761" s="210"/>
      <c r="AK761" s="210"/>
      <c r="AL761" s="210"/>
      <c r="AM761" s="210"/>
      <c r="AN761" s="210"/>
      <c r="AO761" s="210"/>
      <c r="AP761" s="210"/>
      <c r="AQ761" s="210"/>
      <c r="AR761" s="210"/>
      <c r="AS761" s="210"/>
      <c r="AT761" s="210"/>
      <c r="AU761" s="210"/>
      <c r="AV761" s="210"/>
      <c r="AW761" s="210"/>
      <c r="AX761" s="210"/>
      <c r="AY761" s="210"/>
      <c r="AZ761" s="210"/>
      <c r="BA761" s="210"/>
      <c r="BB761" s="210"/>
      <c r="BC761" s="210"/>
      <c r="BD761" s="210"/>
      <c r="BE761" s="210"/>
      <c r="BF761" s="210"/>
      <c r="BG761" s="210"/>
      <c r="BH761" s="553"/>
      <c r="BI761" s="210"/>
      <c r="BJ761" s="210"/>
      <c r="BK761" s="210"/>
      <c r="BL761" s="210"/>
      <c r="BM761" s="210"/>
      <c r="BN761" s="210"/>
      <c r="BO761" s="210"/>
      <c r="BP761" s="210"/>
      <c r="BQ761" s="210"/>
      <c r="BR761" s="210"/>
      <c r="BS761" s="265"/>
    </row>
    <row r="762" spans="1:71" s="261" customFormat="1" ht="15">
      <c r="A762" s="519"/>
      <c r="B762" s="210"/>
      <c r="C762" s="514"/>
      <c r="D762" s="514"/>
      <c r="E762" s="210"/>
      <c r="F762" s="210"/>
      <c r="G762" s="210"/>
      <c r="H762" s="210"/>
      <c r="I762" s="210"/>
      <c r="J762" s="210"/>
      <c r="K762" s="210"/>
      <c r="L762" s="210"/>
      <c r="M762" s="210"/>
      <c r="N762" s="210"/>
      <c r="O762" s="210"/>
      <c r="P762" s="210"/>
      <c r="Q762" s="210"/>
      <c r="R762" s="210"/>
      <c r="S762" s="210"/>
      <c r="T762" s="210"/>
      <c r="U762" s="210"/>
      <c r="V762" s="210"/>
      <c r="W762" s="210"/>
      <c r="X762" s="210"/>
      <c r="Y762" s="210"/>
      <c r="Z762" s="210"/>
      <c r="AA762" s="210"/>
      <c r="AB762" s="210"/>
      <c r="AC762" s="210"/>
      <c r="AD762" s="210"/>
      <c r="AE762" s="210"/>
      <c r="AF762" s="210"/>
      <c r="AG762" s="210"/>
      <c r="AH762" s="210"/>
      <c r="AI762" s="210"/>
      <c r="AJ762" s="210"/>
      <c r="AK762" s="210"/>
      <c r="AL762" s="210"/>
      <c r="AM762" s="210"/>
      <c r="AN762" s="210"/>
      <c r="AO762" s="210"/>
      <c r="AP762" s="210"/>
      <c r="AQ762" s="210"/>
      <c r="AR762" s="210"/>
      <c r="AS762" s="210"/>
      <c r="AT762" s="210"/>
      <c r="AU762" s="210"/>
      <c r="AV762" s="210"/>
      <c r="AW762" s="210"/>
      <c r="AX762" s="210"/>
      <c r="AY762" s="210"/>
      <c r="AZ762" s="210"/>
      <c r="BA762" s="210"/>
      <c r="BB762" s="210"/>
      <c r="BC762" s="210"/>
      <c r="BD762" s="210"/>
      <c r="BE762" s="210"/>
      <c r="BF762" s="210"/>
      <c r="BG762" s="210"/>
      <c r="BH762" s="553"/>
      <c r="BI762" s="210"/>
      <c r="BJ762" s="210"/>
      <c r="BK762" s="210"/>
      <c r="BL762" s="210"/>
      <c r="BM762" s="210"/>
      <c r="BN762" s="210"/>
      <c r="BO762" s="210"/>
      <c r="BP762" s="210"/>
      <c r="BQ762" s="210"/>
      <c r="BR762" s="210"/>
      <c r="BS762" s="265"/>
    </row>
    <row r="763" spans="1:71" s="261" customFormat="1" ht="15">
      <c r="A763" s="510"/>
      <c r="B763" s="515"/>
      <c r="C763" s="520"/>
      <c r="D763" s="520"/>
      <c r="E763" s="515"/>
      <c r="F763" s="515"/>
      <c r="G763" s="515"/>
      <c r="H763" s="515"/>
      <c r="I763" s="515"/>
      <c r="J763" s="515"/>
      <c r="K763" s="515"/>
      <c r="L763" s="515"/>
      <c r="M763" s="515"/>
      <c r="N763" s="515"/>
      <c r="O763" s="515"/>
      <c r="P763" s="515"/>
      <c r="Q763" s="515"/>
      <c r="R763" s="515"/>
      <c r="S763" s="515"/>
      <c r="T763" s="515"/>
      <c r="U763" s="515"/>
      <c r="V763" s="515"/>
      <c r="W763" s="515"/>
      <c r="X763" s="515"/>
      <c r="Y763" s="515"/>
      <c r="Z763" s="515"/>
      <c r="AA763" s="515"/>
      <c r="AB763" s="515"/>
      <c r="AC763" s="515"/>
      <c r="AD763" s="515"/>
      <c r="AE763" s="515"/>
      <c r="AF763" s="515"/>
      <c r="AG763" s="515"/>
      <c r="AH763" s="515"/>
      <c r="AI763" s="515"/>
      <c r="AJ763" s="515"/>
      <c r="AK763" s="515"/>
      <c r="AL763" s="515"/>
      <c r="AM763" s="515"/>
      <c r="AN763" s="515"/>
      <c r="AO763" s="515"/>
      <c r="AP763" s="515"/>
      <c r="AQ763" s="515"/>
      <c r="AR763" s="515"/>
      <c r="AS763" s="515"/>
      <c r="AT763" s="515"/>
      <c r="AU763" s="515"/>
      <c r="AV763" s="515"/>
      <c r="AW763" s="515"/>
      <c r="AX763" s="515"/>
      <c r="AY763" s="515"/>
      <c r="AZ763" s="515"/>
      <c r="BA763" s="515"/>
      <c r="BB763" s="515"/>
      <c r="BC763" s="515"/>
      <c r="BD763" s="515"/>
      <c r="BE763" s="515"/>
      <c r="BF763" s="515"/>
      <c r="BG763" s="515"/>
      <c r="BH763" s="557"/>
      <c r="BI763" s="515"/>
      <c r="BJ763" s="515"/>
      <c r="BK763" s="515"/>
      <c r="BL763" s="515"/>
      <c r="BM763" s="515"/>
      <c r="BN763" s="515"/>
      <c r="BO763" s="515"/>
      <c r="BP763" s="515"/>
      <c r="BQ763" s="515"/>
      <c r="BR763" s="515"/>
      <c r="BS763" s="265"/>
    </row>
    <row r="764" spans="1:71" s="261" customFormat="1" ht="15">
      <c r="A764" s="685" t="s">
        <v>617</v>
      </c>
      <c r="B764" s="484"/>
      <c r="C764" s="680"/>
      <c r="D764" s="680"/>
      <c r="E764" s="484"/>
      <c r="F764" s="484"/>
      <c r="G764" s="484"/>
      <c r="H764" s="484"/>
      <c r="I764" s="484"/>
      <c r="J764" s="484"/>
      <c r="K764" s="484"/>
      <c r="L764" s="484"/>
      <c r="M764" s="484"/>
      <c r="N764" s="484"/>
      <c r="O764" s="484"/>
      <c r="P764" s="484"/>
      <c r="Q764" s="484"/>
      <c r="R764" s="484"/>
      <c r="S764" s="484"/>
      <c r="T764" s="484"/>
      <c r="U764" s="484"/>
      <c r="V764" s="484"/>
      <c r="W764" s="484"/>
      <c r="X764" s="484"/>
      <c r="Y764" s="484"/>
      <c r="Z764" s="484"/>
      <c r="AA764" s="484"/>
      <c r="AB764" s="484"/>
      <c r="AC764" s="484"/>
      <c r="AD764" s="484"/>
      <c r="AE764" s="484"/>
      <c r="AF764" s="484"/>
      <c r="AG764" s="484"/>
      <c r="AH764" s="484"/>
      <c r="AI764" s="484"/>
      <c r="AJ764" s="484"/>
      <c r="AK764" s="484"/>
      <c r="AL764" s="484"/>
      <c r="AM764" s="484"/>
      <c r="AN764" s="484"/>
      <c r="AO764" s="484"/>
      <c r="AP764" s="484"/>
      <c r="AQ764" s="484"/>
      <c r="AR764" s="484"/>
      <c r="AS764" s="484"/>
      <c r="AT764" s="484"/>
      <c r="AU764" s="484"/>
      <c r="AV764" s="484"/>
      <c r="AW764" s="484"/>
      <c r="AX764" s="484"/>
      <c r="AY764" s="484"/>
      <c r="AZ764" s="484"/>
      <c r="BA764" s="484"/>
      <c r="BB764" s="484"/>
      <c r="BC764" s="484"/>
      <c r="BD764" s="484"/>
      <c r="BE764" s="484"/>
      <c r="BF764" s="484"/>
      <c r="BG764" s="484"/>
      <c r="BH764" s="681"/>
      <c r="BI764" s="484"/>
      <c r="BJ764" s="484"/>
      <c r="BK764" s="484"/>
      <c r="BL764" s="484"/>
      <c r="BM764" s="484"/>
      <c r="BN764" s="484"/>
      <c r="BO764" s="484"/>
      <c r="BP764" s="484"/>
      <c r="BQ764" s="484"/>
      <c r="BR764" s="682"/>
      <c r="BS764" s="265"/>
    </row>
    <row r="765" spans="1:71" s="261" customFormat="1" ht="15">
      <c r="A765" s="686" t="s">
        <v>618</v>
      </c>
      <c r="B765" s="210"/>
      <c r="C765" s="688"/>
      <c r="D765" s="688"/>
      <c r="E765" s="689"/>
      <c r="F765" s="689"/>
      <c r="G765" s="689"/>
      <c r="H765" s="689"/>
      <c r="I765" s="689"/>
      <c r="J765" s="689"/>
      <c r="K765" s="689"/>
      <c r="L765" s="689"/>
      <c r="M765" s="689"/>
      <c r="N765" s="689"/>
      <c r="O765" s="689"/>
      <c r="P765" s="689"/>
      <c r="Q765" s="689"/>
      <c r="R765" s="689"/>
      <c r="S765" s="689"/>
      <c r="T765" s="689"/>
      <c r="U765" s="689"/>
      <c r="V765" s="689"/>
      <c r="W765" s="689"/>
      <c r="X765" s="689"/>
      <c r="Y765" s="689"/>
      <c r="Z765" s="689"/>
      <c r="AA765" s="689"/>
      <c r="AB765" s="689"/>
      <c r="AC765" s="689"/>
      <c r="AD765" s="689"/>
      <c r="AE765" s="689"/>
      <c r="AF765" s="689"/>
      <c r="AG765" s="689"/>
      <c r="AH765" s="689"/>
      <c r="AI765" s="689"/>
      <c r="AJ765" s="689"/>
      <c r="AK765" s="689"/>
      <c r="AL765" s="689"/>
      <c r="AM765" s="689"/>
      <c r="AN765" s="689"/>
      <c r="AO765" s="689"/>
      <c r="AP765" s="689"/>
      <c r="AQ765" s="689"/>
      <c r="AR765" s="689"/>
      <c r="AS765" s="689"/>
      <c r="AT765" s="689"/>
      <c r="AU765" s="689"/>
      <c r="AV765" s="689"/>
      <c r="AW765" s="689"/>
      <c r="AX765" s="689"/>
      <c r="AY765" s="689"/>
      <c r="AZ765" s="689"/>
      <c r="BA765" s="689"/>
      <c r="BB765" s="689"/>
      <c r="BC765" s="689"/>
      <c r="BD765" s="689"/>
      <c r="BE765" s="689"/>
      <c r="BF765" s="689"/>
      <c r="BG765" s="689"/>
      <c r="BH765" s="690"/>
      <c r="BI765" s="689"/>
      <c r="BJ765" s="689"/>
      <c r="BK765" s="689"/>
      <c r="BL765" s="689"/>
      <c r="BM765" s="689"/>
      <c r="BN765" s="689"/>
      <c r="BO765" s="689"/>
      <c r="BP765" s="689"/>
      <c r="BQ765" s="689"/>
      <c r="BR765" s="691"/>
      <c r="BS765" s="265"/>
    </row>
    <row r="766" spans="1:71" s="261" customFormat="1" ht="15">
      <c r="A766" s="686" t="s">
        <v>619</v>
      </c>
      <c r="B766" s="210"/>
      <c r="C766" s="692"/>
      <c r="D766" s="692"/>
      <c r="E766" s="693"/>
      <c r="F766" s="693"/>
      <c r="G766" s="693"/>
      <c r="H766" s="693"/>
      <c r="I766" s="693"/>
      <c r="J766" s="693"/>
      <c r="K766" s="693"/>
      <c r="L766" s="693"/>
      <c r="M766" s="693"/>
      <c r="N766" s="693"/>
      <c r="O766" s="693"/>
      <c r="P766" s="693"/>
      <c r="Q766" s="693"/>
      <c r="R766" s="693"/>
      <c r="S766" s="693"/>
      <c r="T766" s="693"/>
      <c r="U766" s="693"/>
      <c r="V766" s="693"/>
      <c r="W766" s="693"/>
      <c r="X766" s="693"/>
      <c r="Y766" s="693"/>
      <c r="Z766" s="693"/>
      <c r="AA766" s="693"/>
      <c r="AB766" s="693"/>
      <c r="AC766" s="693"/>
      <c r="AD766" s="693"/>
      <c r="AE766" s="693"/>
      <c r="AF766" s="693"/>
      <c r="AG766" s="693"/>
      <c r="AH766" s="693"/>
      <c r="AI766" s="693"/>
      <c r="AJ766" s="693"/>
      <c r="AK766" s="693"/>
      <c r="AL766" s="693"/>
      <c r="AM766" s="693"/>
      <c r="AN766" s="693"/>
      <c r="AO766" s="693"/>
      <c r="AP766" s="693"/>
      <c r="AQ766" s="693"/>
      <c r="AR766" s="693"/>
      <c r="AS766" s="693"/>
      <c r="AT766" s="693"/>
      <c r="AU766" s="693"/>
      <c r="AV766" s="693"/>
      <c r="AW766" s="693"/>
      <c r="AX766" s="693"/>
      <c r="AY766" s="693"/>
      <c r="AZ766" s="693"/>
      <c r="BA766" s="693"/>
      <c r="BB766" s="693"/>
      <c r="BC766" s="693"/>
      <c r="BD766" s="693"/>
      <c r="BE766" s="693"/>
      <c r="BF766" s="693"/>
      <c r="BG766" s="693"/>
      <c r="BH766" s="694"/>
      <c r="BI766" s="693"/>
      <c r="BJ766" s="693"/>
      <c r="BK766" s="693"/>
      <c r="BL766" s="693"/>
      <c r="BM766" s="693"/>
      <c r="BN766" s="693"/>
      <c r="BO766" s="693"/>
      <c r="BP766" s="693"/>
      <c r="BQ766" s="693"/>
      <c r="BR766" s="695"/>
      <c r="BS766" s="265"/>
    </row>
    <row r="767" spans="1:71" s="261" customFormat="1" ht="15">
      <c r="A767" s="687"/>
      <c r="B767" s="205"/>
      <c r="C767" s="683"/>
      <c r="D767" s="683"/>
      <c r="E767" s="205"/>
      <c r="F767" s="205"/>
      <c r="G767" s="205"/>
      <c r="H767" s="205"/>
      <c r="I767" s="205"/>
      <c r="J767" s="205"/>
      <c r="K767" s="205"/>
      <c r="L767" s="205"/>
      <c r="M767" s="205"/>
      <c r="N767" s="205"/>
      <c r="O767" s="205"/>
      <c r="P767" s="205"/>
      <c r="Q767" s="205"/>
      <c r="R767" s="205"/>
      <c r="S767" s="205"/>
      <c r="T767" s="205"/>
      <c r="U767" s="205"/>
      <c r="V767" s="205"/>
      <c r="W767" s="205"/>
      <c r="X767" s="205"/>
      <c r="Y767" s="205"/>
      <c r="Z767" s="205"/>
      <c r="AA767" s="205"/>
      <c r="AB767" s="205"/>
      <c r="AC767" s="205"/>
      <c r="AD767" s="205"/>
      <c r="AE767" s="205"/>
      <c r="AF767" s="205"/>
      <c r="AG767" s="205"/>
      <c r="AH767" s="205"/>
      <c r="AI767" s="205"/>
      <c r="AJ767" s="205"/>
      <c r="AK767" s="205"/>
      <c r="AL767" s="205"/>
      <c r="AM767" s="205"/>
      <c r="AN767" s="205"/>
      <c r="AO767" s="205"/>
      <c r="AP767" s="205"/>
      <c r="AQ767" s="205"/>
      <c r="AR767" s="205"/>
      <c r="AS767" s="205"/>
      <c r="AT767" s="205"/>
      <c r="AU767" s="205"/>
      <c r="AV767" s="205"/>
      <c r="AW767" s="205"/>
      <c r="AX767" s="205"/>
      <c r="AY767" s="205"/>
      <c r="AZ767" s="205"/>
      <c r="BA767" s="205"/>
      <c r="BB767" s="205"/>
      <c r="BC767" s="205"/>
      <c r="BD767" s="205"/>
      <c r="BE767" s="205"/>
      <c r="BF767" s="205"/>
      <c r="BG767" s="205"/>
      <c r="BH767" s="658"/>
      <c r="BI767" s="205"/>
      <c r="BJ767" s="205"/>
      <c r="BK767" s="205"/>
      <c r="BL767" s="205"/>
      <c r="BM767" s="205"/>
      <c r="BN767" s="205"/>
      <c r="BO767" s="205"/>
      <c r="BP767" s="205"/>
      <c r="BQ767" s="205"/>
      <c r="BR767" s="684"/>
      <c r="BS767" s="265"/>
    </row>
    <row r="768" spans="1:71" s="261" customFormat="1" ht="15">
      <c r="A768" s="510"/>
      <c r="B768" s="515"/>
      <c r="C768" s="520"/>
      <c r="D768" s="520"/>
      <c r="E768" s="515"/>
      <c r="F768" s="515"/>
      <c r="G768" s="515"/>
      <c r="H768" s="515"/>
      <c r="I768" s="515"/>
      <c r="J768" s="515"/>
      <c r="K768" s="515"/>
      <c r="L768" s="515"/>
      <c r="M768" s="515"/>
      <c r="N768" s="515"/>
      <c r="O768" s="515"/>
      <c r="P768" s="515"/>
      <c r="Q768" s="515"/>
      <c r="R768" s="515"/>
      <c r="S768" s="515"/>
      <c r="T768" s="515"/>
      <c r="U768" s="515"/>
      <c r="V768" s="515"/>
      <c r="W768" s="515"/>
      <c r="X768" s="515"/>
      <c r="Y768" s="515"/>
      <c r="Z768" s="515"/>
      <c r="AA768" s="515"/>
      <c r="AB768" s="515"/>
      <c r="AC768" s="515"/>
      <c r="AD768" s="515"/>
      <c r="AE768" s="515"/>
      <c r="AF768" s="515"/>
      <c r="AG768" s="515"/>
      <c r="AH768" s="515"/>
      <c r="AI768" s="515"/>
      <c r="AJ768" s="515"/>
      <c r="AK768" s="515"/>
      <c r="AL768" s="515"/>
      <c r="AM768" s="515"/>
      <c r="AN768" s="515"/>
      <c r="AO768" s="515"/>
      <c r="AP768" s="515"/>
      <c r="AQ768" s="515"/>
      <c r="AR768" s="515"/>
      <c r="AS768" s="515"/>
      <c r="AT768" s="515"/>
      <c r="AU768" s="515"/>
      <c r="AV768" s="515"/>
      <c r="AW768" s="515"/>
      <c r="AX768" s="515"/>
      <c r="AY768" s="515"/>
      <c r="AZ768" s="515"/>
      <c r="BA768" s="515"/>
      <c r="BB768" s="515"/>
      <c r="BC768" s="515"/>
      <c r="BD768" s="515"/>
      <c r="BE768" s="515"/>
      <c r="BF768" s="515"/>
      <c r="BG768" s="515"/>
      <c r="BH768" s="557"/>
      <c r="BI768" s="515"/>
      <c r="BJ768" s="515"/>
      <c r="BK768" s="515"/>
      <c r="BL768" s="515"/>
      <c r="BM768" s="515"/>
      <c r="BN768" s="515"/>
      <c r="BO768" s="515"/>
      <c r="BP768" s="515"/>
      <c r="BQ768" s="515"/>
      <c r="BR768" s="515"/>
      <c r="BS768" s="265"/>
    </row>
    <row r="769" spans="1:71" s="261" customFormat="1" ht="15">
      <c r="A769" s="685" t="s">
        <v>620</v>
      </c>
      <c r="B769" s="484"/>
      <c r="C769" s="680"/>
      <c r="D769" s="680"/>
      <c r="E769" s="484"/>
      <c r="F769" s="484"/>
      <c r="G769" s="484"/>
      <c r="H769" s="484"/>
      <c r="I769" s="484"/>
      <c r="J769" s="484"/>
      <c r="K769" s="484"/>
      <c r="L769" s="484"/>
      <c r="M769" s="484"/>
      <c r="N769" s="484"/>
      <c r="O769" s="484"/>
      <c r="P769" s="484"/>
      <c r="Q769" s="484"/>
      <c r="R769" s="484"/>
      <c r="S769" s="484"/>
      <c r="T769" s="484"/>
      <c r="U769" s="484"/>
      <c r="V769" s="484"/>
      <c r="W769" s="484"/>
      <c r="X769" s="484"/>
      <c r="Y769" s="484"/>
      <c r="Z769" s="484"/>
      <c r="AA769" s="484"/>
      <c r="AB769" s="484"/>
      <c r="AC769" s="484"/>
      <c r="AD769" s="484"/>
      <c r="AE769" s="484"/>
      <c r="AF769" s="484"/>
      <c r="AG769" s="484"/>
      <c r="AH769" s="484"/>
      <c r="AI769" s="484"/>
      <c r="AJ769" s="484"/>
      <c r="AK769" s="484"/>
      <c r="AL769" s="484"/>
      <c r="AM769" s="484"/>
      <c r="AN769" s="484"/>
      <c r="AO769" s="484"/>
      <c r="AP769" s="484"/>
      <c r="AQ769" s="484"/>
      <c r="AR769" s="484"/>
      <c r="AS769" s="484"/>
      <c r="AT769" s="484"/>
      <c r="AU769" s="484"/>
      <c r="AV769" s="484"/>
      <c r="AW769" s="484"/>
      <c r="AX769" s="484"/>
      <c r="AY769" s="484"/>
      <c r="AZ769" s="484"/>
      <c r="BA769" s="484"/>
      <c r="BB769" s="484"/>
      <c r="BC769" s="484"/>
      <c r="BD769" s="484"/>
      <c r="BE769" s="484"/>
      <c r="BF769" s="484"/>
      <c r="BG769" s="484"/>
      <c r="BH769" s="681"/>
      <c r="BI769" s="484"/>
      <c r="BJ769" s="484"/>
      <c r="BK769" s="484"/>
      <c r="BL769" s="484"/>
      <c r="BM769" s="484"/>
      <c r="BN769" s="484"/>
      <c r="BO769" s="484"/>
      <c r="BP769" s="484"/>
      <c r="BQ769" s="484"/>
      <c r="BR769" s="682"/>
      <c r="BS769" s="265"/>
    </row>
    <row r="770" spans="1:71" s="261" customFormat="1" ht="15">
      <c r="A770" s="686" t="s">
        <v>618</v>
      </c>
      <c r="B770" s="210"/>
      <c r="C770" s="688"/>
      <c r="D770" s="688"/>
      <c r="E770" s="689"/>
      <c r="F770" s="689"/>
      <c r="G770" s="689"/>
      <c r="H770" s="689"/>
      <c r="I770" s="689"/>
      <c r="J770" s="689"/>
      <c r="K770" s="689"/>
      <c r="L770" s="689"/>
      <c r="M770" s="689"/>
      <c r="N770" s="689"/>
      <c r="O770" s="689"/>
      <c r="P770" s="689"/>
      <c r="Q770" s="689"/>
      <c r="R770" s="689"/>
      <c r="S770" s="689"/>
      <c r="T770" s="689"/>
      <c r="U770" s="689"/>
      <c r="V770" s="689"/>
      <c r="W770" s="689"/>
      <c r="X770" s="689"/>
      <c r="Y770" s="689"/>
      <c r="Z770" s="689"/>
      <c r="AA770" s="689"/>
      <c r="AB770" s="689"/>
      <c r="AC770" s="689"/>
      <c r="AD770" s="689"/>
      <c r="AE770" s="689"/>
      <c r="AF770" s="689"/>
      <c r="AG770" s="689"/>
      <c r="AH770" s="689"/>
      <c r="AI770" s="689"/>
      <c r="AJ770" s="689"/>
      <c r="AK770" s="689"/>
      <c r="AL770" s="689"/>
      <c r="AM770" s="689"/>
      <c r="AN770" s="689"/>
      <c r="AO770" s="689"/>
      <c r="AP770" s="689"/>
      <c r="AQ770" s="689"/>
      <c r="AR770" s="689"/>
      <c r="AS770" s="689"/>
      <c r="AT770" s="689"/>
      <c r="AU770" s="689"/>
      <c r="AV770" s="689"/>
      <c r="AW770" s="689"/>
      <c r="AX770" s="689"/>
      <c r="AY770" s="689"/>
      <c r="AZ770" s="689"/>
      <c r="BA770" s="689"/>
      <c r="BB770" s="689"/>
      <c r="BC770" s="689"/>
      <c r="BD770" s="689"/>
      <c r="BE770" s="689"/>
      <c r="BF770" s="689"/>
      <c r="BG770" s="689"/>
      <c r="BH770" s="690"/>
      <c r="BI770" s="689"/>
      <c r="BJ770" s="689"/>
      <c r="BK770" s="689"/>
      <c r="BL770" s="689"/>
      <c r="BM770" s="689"/>
      <c r="BN770" s="689"/>
      <c r="BO770" s="689"/>
      <c r="BP770" s="689"/>
      <c r="BQ770" s="689"/>
      <c r="BR770" s="691"/>
      <c r="BS770" s="265"/>
    </row>
    <row r="771" spans="1:71" s="261" customFormat="1" ht="15">
      <c r="A771" s="686" t="s">
        <v>621</v>
      </c>
      <c r="B771" s="210"/>
      <c r="C771" s="692"/>
      <c r="D771" s="692"/>
      <c r="E771" s="693"/>
      <c r="F771" s="693"/>
      <c r="G771" s="693"/>
      <c r="H771" s="693"/>
      <c r="I771" s="693"/>
      <c r="J771" s="693"/>
      <c r="K771" s="693"/>
      <c r="L771" s="693"/>
      <c r="M771" s="693"/>
      <c r="N771" s="693"/>
      <c r="O771" s="693"/>
      <c r="P771" s="693"/>
      <c r="Q771" s="693"/>
      <c r="R771" s="693"/>
      <c r="S771" s="693"/>
      <c r="T771" s="693"/>
      <c r="U771" s="693"/>
      <c r="V771" s="693"/>
      <c r="W771" s="693"/>
      <c r="X771" s="693"/>
      <c r="Y771" s="693"/>
      <c r="Z771" s="693"/>
      <c r="AA771" s="693"/>
      <c r="AB771" s="693"/>
      <c r="AC771" s="693"/>
      <c r="AD771" s="693"/>
      <c r="AE771" s="693"/>
      <c r="AF771" s="693"/>
      <c r="AG771" s="693"/>
      <c r="AH771" s="693"/>
      <c r="AI771" s="693"/>
      <c r="AJ771" s="693"/>
      <c r="AK771" s="693"/>
      <c r="AL771" s="693"/>
      <c r="AM771" s="693"/>
      <c r="AN771" s="693"/>
      <c r="AO771" s="693"/>
      <c r="AP771" s="693"/>
      <c r="AQ771" s="693"/>
      <c r="AR771" s="693"/>
      <c r="AS771" s="693"/>
      <c r="AT771" s="693"/>
      <c r="AU771" s="693"/>
      <c r="AV771" s="693"/>
      <c r="AW771" s="693"/>
      <c r="AX771" s="693"/>
      <c r="AY771" s="693"/>
      <c r="AZ771" s="693"/>
      <c r="BA771" s="693"/>
      <c r="BB771" s="693"/>
      <c r="BC771" s="693"/>
      <c r="BD771" s="693"/>
      <c r="BE771" s="693"/>
      <c r="BF771" s="693"/>
      <c r="BG771" s="693"/>
      <c r="BH771" s="694"/>
      <c r="BI771" s="693"/>
      <c r="BJ771" s="693"/>
      <c r="BK771" s="693"/>
      <c r="BL771" s="693"/>
      <c r="BM771" s="693"/>
      <c r="BN771" s="693"/>
      <c r="BO771" s="693"/>
      <c r="BP771" s="693"/>
      <c r="BQ771" s="693"/>
      <c r="BR771" s="695"/>
      <c r="BS771" s="265"/>
    </row>
    <row r="772" spans="1:71" s="261" customFormat="1" ht="15">
      <c r="A772" s="686" t="s">
        <v>619</v>
      </c>
      <c r="B772" s="210"/>
      <c r="C772" s="692"/>
      <c r="D772" s="692"/>
      <c r="E772" s="693"/>
      <c r="F772" s="693"/>
      <c r="G772" s="693"/>
      <c r="H772" s="693"/>
      <c r="I772" s="693"/>
      <c r="J772" s="693"/>
      <c r="K772" s="693"/>
      <c r="L772" s="693"/>
      <c r="M772" s="693"/>
      <c r="N772" s="693"/>
      <c r="O772" s="693"/>
      <c r="P772" s="693"/>
      <c r="Q772" s="693"/>
      <c r="R772" s="693"/>
      <c r="S772" s="693"/>
      <c r="T772" s="693"/>
      <c r="U772" s="693"/>
      <c r="V772" s="693"/>
      <c r="W772" s="693"/>
      <c r="X772" s="693"/>
      <c r="Y772" s="693"/>
      <c r="Z772" s="693"/>
      <c r="AA772" s="693"/>
      <c r="AB772" s="693"/>
      <c r="AC772" s="693"/>
      <c r="AD772" s="693"/>
      <c r="AE772" s="693"/>
      <c r="AF772" s="693"/>
      <c r="AG772" s="693"/>
      <c r="AH772" s="693"/>
      <c r="AI772" s="693"/>
      <c r="AJ772" s="693"/>
      <c r="AK772" s="693"/>
      <c r="AL772" s="693"/>
      <c r="AM772" s="693"/>
      <c r="AN772" s="693"/>
      <c r="AO772" s="693"/>
      <c r="AP772" s="693"/>
      <c r="AQ772" s="693"/>
      <c r="AR772" s="693"/>
      <c r="AS772" s="693"/>
      <c r="AT772" s="693"/>
      <c r="AU772" s="693"/>
      <c r="AV772" s="693"/>
      <c r="AW772" s="693"/>
      <c r="AX772" s="693"/>
      <c r="AY772" s="693"/>
      <c r="AZ772" s="693"/>
      <c r="BA772" s="693"/>
      <c r="BB772" s="693"/>
      <c r="BC772" s="693"/>
      <c r="BD772" s="693"/>
      <c r="BE772" s="693"/>
      <c r="BF772" s="693"/>
      <c r="BG772" s="693"/>
      <c r="BH772" s="694"/>
      <c r="BI772" s="693"/>
      <c r="BJ772" s="693"/>
      <c r="BK772" s="693"/>
      <c r="BL772" s="693"/>
      <c r="BM772" s="693"/>
      <c r="BN772" s="693"/>
      <c r="BO772" s="693"/>
      <c r="BP772" s="693"/>
      <c r="BQ772" s="693"/>
      <c r="BR772" s="695"/>
      <c r="BS772" s="265"/>
    </row>
    <row r="773" spans="1:71" s="261" customFormat="1" ht="15">
      <c r="A773" s="687"/>
      <c r="B773" s="205"/>
      <c r="C773" s="683"/>
      <c r="D773" s="683"/>
      <c r="E773" s="205"/>
      <c r="F773" s="205"/>
      <c r="G773" s="205"/>
      <c r="H773" s="205"/>
      <c r="I773" s="205"/>
      <c r="J773" s="205"/>
      <c r="K773" s="205"/>
      <c r="L773" s="205"/>
      <c r="M773" s="205"/>
      <c r="N773" s="205"/>
      <c r="O773" s="205"/>
      <c r="P773" s="205"/>
      <c r="Q773" s="205"/>
      <c r="R773" s="205"/>
      <c r="S773" s="205"/>
      <c r="T773" s="205"/>
      <c r="U773" s="205"/>
      <c r="V773" s="205"/>
      <c r="W773" s="205"/>
      <c r="X773" s="205"/>
      <c r="Y773" s="205"/>
      <c r="Z773" s="205"/>
      <c r="AA773" s="205"/>
      <c r="AB773" s="205"/>
      <c r="AC773" s="205"/>
      <c r="AD773" s="205"/>
      <c r="AE773" s="205"/>
      <c r="AF773" s="205"/>
      <c r="AG773" s="205"/>
      <c r="AH773" s="205"/>
      <c r="AI773" s="205"/>
      <c r="AJ773" s="205"/>
      <c r="AK773" s="205"/>
      <c r="AL773" s="205"/>
      <c r="AM773" s="205"/>
      <c r="AN773" s="205"/>
      <c r="AO773" s="205"/>
      <c r="AP773" s="205"/>
      <c r="AQ773" s="205"/>
      <c r="AR773" s="205"/>
      <c r="AS773" s="205"/>
      <c r="AT773" s="205"/>
      <c r="AU773" s="205"/>
      <c r="AV773" s="205"/>
      <c r="AW773" s="205"/>
      <c r="AX773" s="205"/>
      <c r="AY773" s="205"/>
      <c r="AZ773" s="205"/>
      <c r="BA773" s="205"/>
      <c r="BB773" s="205"/>
      <c r="BC773" s="205"/>
      <c r="BD773" s="205"/>
      <c r="BE773" s="205"/>
      <c r="BF773" s="205"/>
      <c r="BG773" s="205"/>
      <c r="BH773" s="658"/>
      <c r="BI773" s="205"/>
      <c r="BJ773" s="205"/>
      <c r="BK773" s="205"/>
      <c r="BL773" s="205"/>
      <c r="BM773" s="205"/>
      <c r="BN773" s="205"/>
      <c r="BO773" s="205"/>
      <c r="BP773" s="205"/>
      <c r="BQ773" s="205"/>
      <c r="BR773" s="684"/>
      <c r="BS773" s="265"/>
    </row>
    <row r="774" spans="1:71" s="261" customFormat="1" ht="15">
      <c r="A774" s="510"/>
      <c r="B774" s="515"/>
      <c r="C774" s="520"/>
      <c r="D774" s="520"/>
      <c r="E774" s="515"/>
      <c r="F774" s="515"/>
      <c r="G774" s="515"/>
      <c r="H774" s="515"/>
      <c r="I774" s="515"/>
      <c r="J774" s="515"/>
      <c r="K774" s="515"/>
      <c r="L774" s="515"/>
      <c r="M774" s="515"/>
      <c r="N774" s="515"/>
      <c r="O774" s="515"/>
      <c r="P774" s="515"/>
      <c r="Q774" s="515"/>
      <c r="R774" s="515"/>
      <c r="S774" s="515"/>
      <c r="T774" s="515"/>
      <c r="U774" s="515"/>
      <c r="V774" s="515"/>
      <c r="W774" s="515"/>
      <c r="X774" s="515"/>
      <c r="Y774" s="515"/>
      <c r="Z774" s="515"/>
      <c r="AA774" s="515"/>
      <c r="AB774" s="515"/>
      <c r="AC774" s="515"/>
      <c r="AD774" s="515"/>
      <c r="AE774" s="515"/>
      <c r="AF774" s="515"/>
      <c r="AG774" s="515"/>
      <c r="AH774" s="515"/>
      <c r="AI774" s="515"/>
      <c r="AJ774" s="515"/>
      <c r="AK774" s="515"/>
      <c r="AL774" s="515"/>
      <c r="AM774" s="515"/>
      <c r="AN774" s="515"/>
      <c r="AO774" s="515"/>
      <c r="AP774" s="515"/>
      <c r="AQ774" s="515"/>
      <c r="AR774" s="515"/>
      <c r="AS774" s="515"/>
      <c r="AT774" s="515"/>
      <c r="AU774" s="515"/>
      <c r="AV774" s="515"/>
      <c r="AW774" s="515"/>
      <c r="AX774" s="515"/>
      <c r="AY774" s="515"/>
      <c r="AZ774" s="515"/>
      <c r="BA774" s="515"/>
      <c r="BB774" s="515"/>
      <c r="BC774" s="515"/>
      <c r="BD774" s="515"/>
      <c r="BE774" s="515"/>
      <c r="BF774" s="515"/>
      <c r="BG774" s="515"/>
      <c r="BH774" s="557"/>
      <c r="BI774" s="515"/>
      <c r="BJ774" s="515"/>
      <c r="BK774" s="515"/>
      <c r="BL774" s="515"/>
      <c r="BM774" s="515"/>
      <c r="BN774" s="515"/>
      <c r="BO774" s="515"/>
      <c r="BP774" s="515"/>
      <c r="BQ774" s="515"/>
      <c r="BR774" s="515"/>
      <c r="BS774" s="265"/>
    </row>
    <row r="775" spans="1:71" s="181" customFormat="1" ht="15">
      <c r="A775" s="878" t="s">
        <v>298</v>
      </c>
      <c r="B775" s="879"/>
      <c r="C775" s="879"/>
      <c r="D775" s="879"/>
      <c r="E775" s="879"/>
      <c r="F775" s="879"/>
      <c r="G775" s="879"/>
      <c r="H775" s="879"/>
      <c r="I775" s="879"/>
      <c r="J775" s="879"/>
      <c r="K775" s="879"/>
      <c r="L775" s="879"/>
      <c r="M775" s="879"/>
      <c r="N775" s="879"/>
      <c r="O775" s="879"/>
      <c r="P775" s="879"/>
      <c r="Q775" s="879"/>
      <c r="R775" s="879"/>
      <c r="S775" s="879"/>
      <c r="T775" s="879"/>
      <c r="U775" s="879"/>
      <c r="V775" s="879"/>
      <c r="W775" s="879"/>
      <c r="X775" s="879"/>
      <c r="Y775" s="879"/>
      <c r="Z775" s="879"/>
      <c r="AA775" s="879"/>
      <c r="AB775" s="879"/>
      <c r="AC775" s="879"/>
      <c r="AD775" s="879"/>
      <c r="AE775" s="879"/>
      <c r="AF775" s="879"/>
      <c r="AG775" s="879"/>
      <c r="AH775" s="879"/>
      <c r="AI775" s="879"/>
      <c r="AJ775" s="879"/>
      <c r="AK775" s="879"/>
      <c r="AL775" s="879"/>
      <c r="AM775" s="879"/>
      <c r="AN775" s="879"/>
      <c r="AO775" s="879"/>
      <c r="AP775" s="879"/>
      <c r="AQ775" s="879"/>
      <c r="AR775" s="879"/>
      <c r="AS775" s="879"/>
      <c r="AT775" s="879"/>
      <c r="AU775" s="879"/>
      <c r="AV775" s="879"/>
      <c r="AW775" s="879"/>
      <c r="AX775" s="879"/>
      <c r="AY775" s="879"/>
      <c r="AZ775" s="879"/>
      <c r="BA775" s="879"/>
      <c r="BB775" s="879"/>
      <c r="BC775" s="879"/>
      <c r="BD775" s="879"/>
      <c r="BE775" s="879"/>
      <c r="BF775" s="879"/>
      <c r="BG775" s="879"/>
      <c r="BH775" s="880"/>
      <c r="BI775" s="879" t="str">
        <f t="shared" si="1465" ref="BI775:BR775">BI5</f>
        <v>Q4-2024</v>
      </c>
      <c r="BJ775" s="879" t="str">
        <f t="shared" si="1465"/>
        <v>FY2024</v>
      </c>
      <c r="BK775" s="879" t="str">
        <f t="shared" si="1465"/>
        <v>Q1-2025</v>
      </c>
      <c r="BL775" s="879" t="str">
        <f t="shared" si="1465"/>
        <v>Q2-2025</v>
      </c>
      <c r="BM775" s="879" t="str">
        <f t="shared" si="1465"/>
        <v>Q3-2025</v>
      </c>
      <c r="BN775" s="879" t="str">
        <f t="shared" si="1465"/>
        <v>Q4-2025</v>
      </c>
      <c r="BO775" s="879" t="str">
        <f t="shared" si="1465"/>
        <v>FY2025</v>
      </c>
      <c r="BP775" s="879" t="str">
        <f t="shared" si="1465"/>
        <v>FY2026</v>
      </c>
      <c r="BQ775" s="879" t="str">
        <f t="shared" si="1465"/>
        <v>FY2027</v>
      </c>
      <c r="BR775" s="881" t="str">
        <f t="shared" si="1465"/>
        <v>FY2028</v>
      </c>
      <c r="BS775" s="344"/>
    </row>
    <row r="776" spans="1:71" s="181" customFormat="1" ht="15">
      <c r="A776" s="882" t="s">
        <v>299</v>
      </c>
      <c r="B776" s="860"/>
      <c r="C776" s="860"/>
      <c r="D776" s="860"/>
      <c r="E776" s="860"/>
      <c r="F776" s="860"/>
      <c r="G776" s="860"/>
      <c r="H776" s="860"/>
      <c r="I776" s="860"/>
      <c r="J776" s="860"/>
      <c r="K776" s="860"/>
      <c r="L776" s="860"/>
      <c r="M776" s="860"/>
      <c r="N776" s="860"/>
      <c r="O776" s="860"/>
      <c r="P776" s="860"/>
      <c r="Q776" s="860"/>
      <c r="R776" s="860"/>
      <c r="S776" s="860"/>
      <c r="T776" s="860"/>
      <c r="U776" s="860"/>
      <c r="V776" s="860"/>
      <c r="W776" s="860"/>
      <c r="X776" s="860"/>
      <c r="Y776" s="860"/>
      <c r="Z776" s="860"/>
      <c r="AA776" s="860"/>
      <c r="AB776" s="860"/>
      <c r="AC776" s="860"/>
      <c r="AD776" s="860"/>
      <c r="AE776" s="860"/>
      <c r="AF776" s="860"/>
      <c r="AG776" s="860"/>
      <c r="AH776" s="860"/>
      <c r="AI776" s="860"/>
      <c r="AJ776" s="860"/>
      <c r="AK776" s="860"/>
      <c r="AL776" s="860"/>
      <c r="AM776" s="860"/>
      <c r="AN776" s="860"/>
      <c r="AO776" s="860"/>
      <c r="AP776" s="860"/>
      <c r="AQ776" s="860"/>
      <c r="AR776" s="860"/>
      <c r="AS776" s="860"/>
      <c r="AT776" s="860"/>
      <c r="AU776" s="860"/>
      <c r="AV776" s="860"/>
      <c r="AW776" s="860"/>
      <c r="AX776" s="860"/>
      <c r="AY776" s="860"/>
      <c r="AZ776" s="860"/>
      <c r="BA776" s="860"/>
      <c r="BB776" s="860"/>
      <c r="BC776" s="860"/>
      <c r="BD776" s="860"/>
      <c r="BE776" s="860"/>
      <c r="BF776" s="860"/>
      <c r="BG776" s="860"/>
      <c r="BH776" s="861"/>
      <c r="BI776" s="860" t="str">
        <f ca="1">IF(MO.DataSourceIndex=3,IF(LEFT(INDIRECT(ADDRESS(ROW()-1,COLUMN())),2)="FY","ANNUAL",IF(LEFT(INDIRECT(ADDRESS(ROW()-1,COLUMN())),1)="Q","QUARTERLY","")),IF(LEFT(INDIRECT(ADDRESS(ROW()-1,COLUMN())),2)="FY","FY",IF(LEFT(INDIRECT(ADDRESS(ROW()-1,COLUMN())),1)="Q","FQ","FH")))</f>
        <v>FQ</v>
      </c>
      <c r="BJ776" s="860" t="str">
        <f ca="1" t="shared" si="1466" ref="BJ776">IF(MO.DataSourceIndex=3,IF(LEFT(INDIRECT(ADDRESS(ROW()-1,COLUMN())),2)="FY","ANNUAL",IF(LEFT(INDIRECT(ADDRESS(ROW()-1,COLUMN())),1)="Q","QUARTERLY","")),IF(LEFT(INDIRECT(ADDRESS(ROW()-1,COLUMN())),2)="FY","FY",IF(LEFT(INDIRECT(ADDRESS(ROW()-1,COLUMN())),1)="Q","FQ","FH")))</f>
        <v>FY</v>
      </c>
      <c r="BK776" s="860" t="str">
        <f ca="1" t="shared" si="1467" ref="BK776:BR776">IF(MO.DataSourceIndex=3,IF(LEFT(INDIRECT(ADDRESS(ROW()-1,COLUMN())),2)="FY","ANNUAL",IF(LEFT(INDIRECT(ADDRESS(ROW()-1,COLUMN())),1)="Q","QUARTERLY","")),IF(LEFT(INDIRECT(ADDRESS(ROW()-1,COLUMN())),2)="FY","FY",IF(LEFT(INDIRECT(ADDRESS(ROW()-1,COLUMN())),1)="Q","FQ","FH")))</f>
        <v>FQ</v>
      </c>
      <c r="BL776" s="860" t="str">
        <f t="shared" ca="1" si="1467"/>
        <v>FQ</v>
      </c>
      <c r="BM776" s="860" t="str">
        <f t="shared" ca="1" si="1467"/>
        <v>FQ</v>
      </c>
      <c r="BN776" s="860" t="str">
        <f t="shared" ca="1" si="1467"/>
        <v>FQ</v>
      </c>
      <c r="BO776" s="860" t="str">
        <f t="shared" ca="1" si="1467"/>
        <v>FY</v>
      </c>
      <c r="BP776" s="860" t="str">
        <f t="shared" ca="1" si="1467"/>
        <v>FY</v>
      </c>
      <c r="BQ776" s="860" t="str">
        <f t="shared" ca="1" si="1467"/>
        <v>FY</v>
      </c>
      <c r="BR776" s="883" t="str">
        <f t="shared" ca="1" si="1467"/>
        <v>FY</v>
      </c>
      <c r="BS776" s="344"/>
    </row>
    <row r="777" spans="1:71" s="181" customFormat="1" ht="15">
      <c r="A777" s="882" t="s">
        <v>300</v>
      </c>
      <c r="B777" s="860"/>
      <c r="C777" s="860"/>
      <c r="D777" s="860"/>
      <c r="E777" s="860"/>
      <c r="F777" s="860"/>
      <c r="G777" s="860"/>
      <c r="H777" s="860"/>
      <c r="I777" s="860"/>
      <c r="J777" s="860"/>
      <c r="K777" s="860"/>
      <c r="L777" s="860"/>
      <c r="M777" s="860"/>
      <c r="N777" s="860"/>
      <c r="O777" s="860"/>
      <c r="P777" s="860"/>
      <c r="Q777" s="860"/>
      <c r="R777" s="860"/>
      <c r="S777" s="860"/>
      <c r="T777" s="860"/>
      <c r="U777" s="860"/>
      <c r="V777" s="860"/>
      <c r="W777" s="860"/>
      <c r="X777" s="860"/>
      <c r="Y777" s="860"/>
      <c r="Z777" s="860"/>
      <c r="AA777" s="860"/>
      <c r="AB777" s="860"/>
      <c r="AC777" s="860"/>
      <c r="AD777" s="860"/>
      <c r="AE777" s="860"/>
      <c r="AF777" s="860"/>
      <c r="AG777" s="860"/>
      <c r="AH777" s="860"/>
      <c r="AI777" s="860"/>
      <c r="AJ777" s="860"/>
      <c r="AK777" s="860"/>
      <c r="AL777" s="860"/>
      <c r="AM777" s="860"/>
      <c r="AN777" s="860"/>
      <c r="AO777" s="860"/>
      <c r="AP777" s="860"/>
      <c r="AQ777" s="860"/>
      <c r="AR777" s="860"/>
      <c r="AS777" s="860"/>
      <c r="AT777" s="860"/>
      <c r="AU777" s="860"/>
      <c r="AV777" s="860"/>
      <c r="AW777" s="860"/>
      <c r="AX777" s="860"/>
      <c r="AY777" s="860"/>
      <c r="AZ777" s="860"/>
      <c r="BA777" s="860"/>
      <c r="BB777" s="860"/>
      <c r="BC777" s="860"/>
      <c r="BD777" s="860"/>
      <c r="BE777" s="860"/>
      <c r="BF777" s="860"/>
      <c r="BG777" s="860"/>
      <c r="BH777" s="861"/>
      <c r="BI777" s="860">
        <f ca="1">IF(MO.DataSourceIndex=3,IF(INDEX(MO_SNA_ConsensusEstimatePeriodType,,COLUMN())="ANNUAL",COUNTIF(OFFSET(INDEX(MO_SNA_ConsensusEstimatePeriodType,,1),,,,COLUMN()),"ANNUAL"),IF(INDEX(MO_SNA_ConsensusEstimatePeriodType,,COLUMN())="QUARTERLY",COUNTIF(OFFSET(INDEX(MO_SNA_ConsensusEstimatePeriodType,,1),,,,COLUMN()),"QUARTERLY"),"")),IF(INDEX(MO_SNA_ConsensusEstimatePeriodType,,COLUMN())="FY",COUNTIF(OFFSET(INDEX(MO_SNA_ConsensusEstimatePeriodType,,1),,,,COLUMN()),"FY"),IF(INDEX(MO_SNA_ConsensusEstimatePeriodType,,COLUMN())="FQ",COUNTIF(OFFSET(INDEX(MO_SNA_ConsensusEstimatePeriodType,,1),,,,COLUMN()),"FQ"),COUNTIF(OFFSET(INDEX(MO_SNA_ConsensusEstimatePeriodType,,1),,,,COLUMN()),"FH"))))</f>
        <v>1</v>
      </c>
      <c r="BJ777" s="860">
        <f ca="1" t="shared" si="1468" ref="BJ777">IF(MO.DataSourceIndex=3,IF(INDEX(MO_SNA_ConsensusEstimatePeriodType,,COLUMN())="ANNUAL",COUNTIF(OFFSET(INDEX(MO_SNA_ConsensusEstimatePeriodType,,1),,,,COLUMN()),"ANNUAL"),IF(INDEX(MO_SNA_ConsensusEstimatePeriodType,,COLUMN())="QUARTERLY",COUNTIF(OFFSET(INDEX(MO_SNA_ConsensusEstimatePeriodType,,1),,,,COLUMN()),"QUARTERLY"),"")),IF(INDEX(MO_SNA_ConsensusEstimatePeriodType,,COLUMN())="FY",COUNTIF(OFFSET(INDEX(MO_SNA_ConsensusEstimatePeriodType,,1),,,,COLUMN()),"FY"),IF(INDEX(MO_SNA_ConsensusEstimatePeriodType,,COLUMN())="FQ",COUNTIF(OFFSET(INDEX(MO_SNA_ConsensusEstimatePeriodType,,1),,,,COLUMN()),"FQ"),COUNTIF(OFFSET(INDEX(MO_SNA_ConsensusEstimatePeriodType,,1),,,,COLUMN()),"FH"))))</f>
        <v>1</v>
      </c>
      <c r="BK777" s="860">
        <f ca="1" t="shared" si="1469" ref="BK777:BR777">IF(MO.DataSourceIndex=3,IF(INDEX(MO_SNA_ConsensusEstimatePeriodType,,COLUMN())="ANNUAL",COUNTIF(OFFSET(INDEX(MO_SNA_ConsensusEstimatePeriodType,,1),,,,COLUMN()),"ANNUAL"),IF(INDEX(MO_SNA_ConsensusEstimatePeriodType,,COLUMN())="QUARTERLY",COUNTIF(OFFSET(INDEX(MO_SNA_ConsensusEstimatePeriodType,,1),,,,COLUMN()),"QUARTERLY"),"")),IF(INDEX(MO_SNA_ConsensusEstimatePeriodType,,COLUMN())="FY",COUNTIF(OFFSET(INDEX(MO_SNA_ConsensusEstimatePeriodType,,1),,,,COLUMN()),"FY"),IF(INDEX(MO_SNA_ConsensusEstimatePeriodType,,COLUMN())="FQ",COUNTIF(OFFSET(INDEX(MO_SNA_ConsensusEstimatePeriodType,,1),,,,COLUMN()),"FQ"),COUNTIF(OFFSET(INDEX(MO_SNA_ConsensusEstimatePeriodType,,1),,,,COLUMN()),"FH"))))</f>
        <v>2</v>
      </c>
      <c r="BL777" s="860">
        <f t="shared" ca="1" si="1469"/>
        <v>3</v>
      </c>
      <c r="BM777" s="860">
        <f t="shared" ca="1" si="1469"/>
        <v>4</v>
      </c>
      <c r="BN777" s="860">
        <f t="shared" ca="1" si="1469"/>
        <v>5</v>
      </c>
      <c r="BO777" s="860">
        <f t="shared" ca="1" si="1469"/>
        <v>2</v>
      </c>
      <c r="BP777" s="860">
        <f t="shared" ca="1" si="1469"/>
        <v>3</v>
      </c>
      <c r="BQ777" s="860">
        <f t="shared" ca="1" si="1469"/>
        <v>4</v>
      </c>
      <c r="BR777" s="883">
        <f t="shared" ca="1" si="1469"/>
        <v>5</v>
      </c>
      <c r="BS777" s="344"/>
    </row>
    <row r="778" spans="1:71" s="24" customFormat="1" ht="15">
      <c r="A778" s="362" t="str">
        <f>$A$40</f>
        <v>Consensus Estimates - Total Net Earned Premiums, mm</v>
      </c>
      <c r="B778" s="828"/>
      <c r="C778" s="832"/>
      <c r="D778" s="832"/>
      <c r="E778" s="832"/>
      <c r="F778" s="832"/>
      <c r="G778" s="832"/>
      <c r="H778" s="828"/>
      <c r="I778" s="828"/>
      <c r="J778" s="828"/>
      <c r="K778" s="828"/>
      <c r="L778" s="828"/>
      <c r="M778" s="828"/>
      <c r="N778" s="828"/>
      <c r="O778" s="828"/>
      <c r="P778" s="828"/>
      <c r="Q778" s="828"/>
      <c r="R778" s="828"/>
      <c r="S778" s="828"/>
      <c r="T778" s="828"/>
      <c r="U778" s="828"/>
      <c r="V778" s="828"/>
      <c r="W778" s="828"/>
      <c r="X778" s="828"/>
      <c r="Y778" s="828"/>
      <c r="Z778" s="828"/>
      <c r="AA778" s="828"/>
      <c r="AB778" s="828"/>
      <c r="AC778" s="828"/>
      <c r="AD778" s="828"/>
      <c r="AE778" s="828"/>
      <c r="AF778" s="828"/>
      <c r="AG778" s="828"/>
      <c r="AH778" s="828"/>
      <c r="AI778" s="828"/>
      <c r="AJ778" s="828"/>
      <c r="AK778" s="828"/>
      <c r="AL778" s="828"/>
      <c r="AM778" s="828"/>
      <c r="AN778" s="828"/>
      <c r="AO778" s="828"/>
      <c r="AP778" s="828"/>
      <c r="AQ778" s="828"/>
      <c r="AR778" s="828"/>
      <c r="AS778" s="828"/>
      <c r="AT778" s="828"/>
      <c r="AU778" s="828"/>
      <c r="AV778" s="828"/>
      <c r="AW778" s="828"/>
      <c r="AX778" s="828"/>
      <c r="AY778" s="828"/>
      <c r="AZ778" s="828"/>
      <c r="BA778" s="828"/>
      <c r="BB778" s="828"/>
      <c r="BC778" s="828"/>
      <c r="BD778" s="828"/>
      <c r="BE778" s="828"/>
      <c r="BF778" s="828"/>
      <c r="BG778" s="828"/>
      <c r="BH778" s="829"/>
      <c r="BI778" s="857" t="str">
        <f ca="1">IFERROR(CHOOSE(MO.DataSourceIndex,BDP(MO.Ticker.Bloomberg&amp;" EQUITY","IEST_NET_PREMIUMS_EARNED","BEST_FPERIOD_OVERRIDE="&amp;INDEX(tb_ConsensusEstimate,3,COLUMN())&amp;INDEX(tb_ConsensusEstimate,2,COLUMN())),0,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J778" s="857" t="str">
        <f ca="1">IFERROR(CHOOSE(MO.DataSourceIndex,BDP(MO.Ticker.Bloomberg&amp;" EQUITY","IEST_NET_PREMIUMS_EARNED","BEST_FPERIOD_OVERRIDE="&amp;INDEX(tb_ConsensusEstimate,3,COLUMN())&amp;INDEX(tb_ConsensusEstimate,2,COLUMN())),0,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K778" s="857" t="str">
        <f ca="1">IFERROR(CHOOSE(MO.DataSourceIndex,BDP(MO.Ticker.Bloomberg&amp;" EQUITY","IEST_NET_PREMIUMS_EARNED","BEST_FPERIOD_OVERRIDE="&amp;INDEX(tb_ConsensusEstimate,3,COLUMN())&amp;INDEX(tb_ConsensusEstimate,2,COLUMN())),0,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L778" s="857" t="str">
        <f ca="1">IFERROR(CHOOSE(MO.DataSourceIndex,BDP(MO.Ticker.Bloomberg&amp;" EQUITY","IEST_NET_PREMIUMS_EARNED","BEST_FPERIOD_OVERRIDE="&amp;INDEX(tb_ConsensusEstimate,3,COLUMN())&amp;INDEX(tb_ConsensusEstimate,2,COLUMN())),0,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M778" s="857" t="str">
        <f ca="1">IFERROR(CHOOSE(MO.DataSourceIndex,BDP(MO.Ticker.Bloomberg&amp;" EQUITY","IEST_NET_PREMIUMS_EARNED","BEST_FPERIOD_OVERRIDE="&amp;INDEX(tb_ConsensusEstimate,3,COLUMN())&amp;INDEX(tb_ConsensusEstimate,2,COLUMN())),0,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N778" s="857" t="str">
        <f ca="1">IFERROR(CHOOSE(MO.DataSourceIndex,BDP(MO.Ticker.Bloomberg&amp;" EQUITY","IEST_NET_PREMIUMS_EARNED","BEST_FPERIOD_OVERRIDE="&amp;INDEX(tb_ConsensusEstimate,3,COLUMN())&amp;INDEX(tb_ConsensusEstimate,2,COLUMN())),0,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O778" s="857" t="str">
        <f ca="1">IFERROR(CHOOSE(MO.DataSourceIndex,BDP(MO.Ticker.Bloomberg&amp;" EQUITY","IEST_NET_PREMIUMS_EARNED","BEST_FPERIOD_OVERRIDE="&amp;INDEX(tb_ConsensusEstimate,3,COLUMN())&amp;INDEX(tb_ConsensusEstimate,2,COLUMN())),0,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P778" s="857" t="str">
        <f ca="1">IFERROR(CHOOSE(MO.DataSourceIndex,BDP(MO.Ticker.Bloomberg&amp;" EQUITY","IEST_NET_PREMIUMS_EARNED","BEST_FPERIOD_OVERRIDE="&amp;INDEX(tb_ConsensusEstimate,3,COLUMN())&amp;INDEX(tb_ConsensusEstimate,2,COLUMN())),0,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Q778" s="857" t="str">
        <f ca="1">IFERROR(CHOOSE(MO.DataSourceIndex,BDP(MO.Ticker.Bloomberg&amp;" EQUITY","IEST_NET_PREMIUMS_EARNED","BEST_FPERIOD_OVERRIDE="&amp;INDEX(tb_ConsensusEstimate,3,COLUMN())&amp;INDEX(tb_ConsensusEstimate,2,COLUMN())),0,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R778" s="360" t="str">
        <f ca="1">IFERROR(CHOOSE(MO.DataSourceIndex,BDP(MO.Ticker.Bloomberg&amp;" EQUITY","IEST_NET_PREMIUMS_EARNED","BEST_FPERIOD_OVERRIDE="&amp;INDEX(tb_ConsensusEstimate,3,COLUMN())&amp;INDEX(tb_ConsensusEstimate,2,COLUMN())),0,FDS(MO.Ticker.FactSet,"FE_ESTIMATE(PREM_EARN,MEAN,"&amp;INDEX(tb_ConsensusEstimate,2,COLUMN())&amp;",+"&amp;INDEX(tb_ConsensusEstimate,3,COLUMN())&amp;",NOW"&amp;",,,'CURRENCY="&amp;HP.ReportCurrency&amp;"')"),_xll.TR(MO.Ticker.Thomson,"ZAV(TR.NetPremiumsEarnedMean(Scale=6))","Period="&amp;INDEX(tb_ConsensusEstimate,2,COLUMN())&amp;INDEX(tb_ConsensusEstimate,3,COLUMN()))),"N/A")</f>
        <v>N/A</v>
      </c>
      <c r="BS778" s="345"/>
    </row>
    <row r="779" spans="1:71" s="24" customFormat="1" ht="15">
      <c r="A779" s="362" t="str">
        <f>$A$79</f>
        <v>Consensus Estimates - Total Underwriting Income excl. PYD &amp; CAT, mm</v>
      </c>
      <c r="B779" s="828"/>
      <c r="C779" s="832"/>
      <c r="D779" s="832"/>
      <c r="E779" s="832"/>
      <c r="F779" s="832"/>
      <c r="G779" s="832"/>
      <c r="H779" s="828"/>
      <c r="I779" s="828"/>
      <c r="J779" s="828"/>
      <c r="K779" s="828"/>
      <c r="L779" s="828"/>
      <c r="M779" s="828"/>
      <c r="N779" s="828"/>
      <c r="O779" s="828"/>
      <c r="P779" s="828"/>
      <c r="Q779" s="828"/>
      <c r="R779" s="828"/>
      <c r="S779" s="828"/>
      <c r="T779" s="828"/>
      <c r="U779" s="828"/>
      <c r="V779" s="828"/>
      <c r="W779" s="828"/>
      <c r="X779" s="828"/>
      <c r="Y779" s="828"/>
      <c r="Z779" s="828"/>
      <c r="AA779" s="828"/>
      <c r="AB779" s="828"/>
      <c r="AC779" s="828"/>
      <c r="AD779" s="828"/>
      <c r="AE779" s="828"/>
      <c r="AF779" s="828"/>
      <c r="AG779" s="828"/>
      <c r="AH779" s="828"/>
      <c r="AI779" s="828"/>
      <c r="AJ779" s="828"/>
      <c r="AK779" s="828"/>
      <c r="AL779" s="828"/>
      <c r="AM779" s="828"/>
      <c r="AN779" s="828"/>
      <c r="AO779" s="828"/>
      <c r="AP779" s="828"/>
      <c r="AQ779" s="828"/>
      <c r="AR779" s="828"/>
      <c r="AS779" s="828"/>
      <c r="AT779" s="828"/>
      <c r="AU779" s="828"/>
      <c r="AV779" s="828"/>
      <c r="AW779" s="828"/>
      <c r="AX779" s="828"/>
      <c r="AY779" s="828"/>
      <c r="AZ779" s="828"/>
      <c r="BA779" s="828"/>
      <c r="BB779" s="828"/>
      <c r="BC779" s="828"/>
      <c r="BD779" s="828"/>
      <c r="BE779" s="828"/>
      <c r="BF779" s="828"/>
      <c r="BG779" s="828"/>
      <c r="BH779" s="829"/>
      <c r="BI779" s="857" t="str">
        <f ca="1">IFERROR(CHOOSE(MO.DataSourceIndex,BDP(MO.Ticker.Bloomberg&amp;" EQUITY","IEST_UNDERWRITING_PL","BEST_FPERIOD_OVERRIDE="&amp;INDEX(tb_ConsensusEstimate,3,COLUMN())&amp;INDEX(tb_ConsensusEstimate,2,COLUMN())),0,FDS(MO.Ticker.FactSet,"FE_ESTIMATE(UW_INCOME,MEAN,"&amp;INDEX(tb_ConsensusEstimate,2,COLUMN())&amp;",+"&amp;INDEX(tb_ConsensusEstimate,3,COLUMN())&amp;",NOW"&amp;",,,'CURRENCY="&amp;HP.ReportCurrency&amp;"')"),0),"N/A")</f>
        <v>N/A</v>
      </c>
      <c r="BJ779" s="857" t="str">
        <f ca="1">IFERROR(CHOOSE(MO.DataSourceIndex,BDP(MO.Ticker.Bloomberg&amp;" EQUITY","IEST_UNDERWRITING_PL","BEST_FPERIOD_OVERRIDE="&amp;INDEX(tb_ConsensusEstimate,3,COLUMN())&amp;INDEX(tb_ConsensusEstimate,2,COLUMN())),0,FDS(MO.Ticker.FactSet,"FE_ESTIMATE(UW_INCOME,MEAN,"&amp;INDEX(tb_ConsensusEstimate,2,COLUMN())&amp;",+"&amp;INDEX(tb_ConsensusEstimate,3,COLUMN())&amp;",NOW"&amp;",,,'CURRENCY="&amp;HP.ReportCurrency&amp;"')"),0),"N/A")</f>
        <v>N/A</v>
      </c>
      <c r="BK779" s="857" t="str">
        <f ca="1">IFERROR(CHOOSE(MO.DataSourceIndex,BDP(MO.Ticker.Bloomberg&amp;" EQUITY","IEST_UNDERWRITING_PL","BEST_FPERIOD_OVERRIDE="&amp;INDEX(tb_ConsensusEstimate,3,COLUMN())&amp;INDEX(tb_ConsensusEstimate,2,COLUMN())),0,FDS(MO.Ticker.FactSet,"FE_ESTIMATE(UW_INCOME,MEAN,"&amp;INDEX(tb_ConsensusEstimate,2,COLUMN())&amp;",+"&amp;INDEX(tb_ConsensusEstimate,3,COLUMN())&amp;",NOW"&amp;",,,'CURRENCY="&amp;HP.ReportCurrency&amp;"')"),0),"N/A")</f>
        <v>N/A</v>
      </c>
      <c r="BL779" s="857" t="str">
        <f ca="1">IFERROR(CHOOSE(MO.DataSourceIndex,BDP(MO.Ticker.Bloomberg&amp;" EQUITY","IEST_UNDERWRITING_PL","BEST_FPERIOD_OVERRIDE="&amp;INDEX(tb_ConsensusEstimate,3,COLUMN())&amp;INDEX(tb_ConsensusEstimate,2,COLUMN())),0,FDS(MO.Ticker.FactSet,"FE_ESTIMATE(UW_INCOME,MEAN,"&amp;INDEX(tb_ConsensusEstimate,2,COLUMN())&amp;",+"&amp;INDEX(tb_ConsensusEstimate,3,COLUMN())&amp;",NOW"&amp;",,,'CURRENCY="&amp;HP.ReportCurrency&amp;"')"),0),"N/A")</f>
        <v>N/A</v>
      </c>
      <c r="BM779" s="857" t="str">
        <f ca="1">IFERROR(CHOOSE(MO.DataSourceIndex,BDP(MO.Ticker.Bloomberg&amp;" EQUITY","IEST_UNDERWRITING_PL","BEST_FPERIOD_OVERRIDE="&amp;INDEX(tb_ConsensusEstimate,3,COLUMN())&amp;INDEX(tb_ConsensusEstimate,2,COLUMN())),0,FDS(MO.Ticker.FactSet,"FE_ESTIMATE(UW_INCOME,MEAN,"&amp;INDEX(tb_ConsensusEstimate,2,COLUMN())&amp;",+"&amp;INDEX(tb_ConsensusEstimate,3,COLUMN())&amp;",NOW"&amp;",,,'CURRENCY="&amp;HP.ReportCurrency&amp;"')"),0),"N/A")</f>
        <v>N/A</v>
      </c>
      <c r="BN779" s="857" t="str">
        <f ca="1">IFERROR(CHOOSE(MO.DataSourceIndex,BDP(MO.Ticker.Bloomberg&amp;" EQUITY","IEST_UNDERWRITING_PL","BEST_FPERIOD_OVERRIDE="&amp;INDEX(tb_ConsensusEstimate,3,COLUMN())&amp;INDEX(tb_ConsensusEstimate,2,COLUMN())),0,FDS(MO.Ticker.FactSet,"FE_ESTIMATE(UW_INCOME,MEAN,"&amp;INDEX(tb_ConsensusEstimate,2,COLUMN())&amp;",+"&amp;INDEX(tb_ConsensusEstimate,3,COLUMN())&amp;",NOW"&amp;",,,'CURRENCY="&amp;HP.ReportCurrency&amp;"')"),0),"N/A")</f>
        <v>N/A</v>
      </c>
      <c r="BO779" s="857" t="str">
        <f ca="1">IFERROR(CHOOSE(MO.DataSourceIndex,BDP(MO.Ticker.Bloomberg&amp;" EQUITY","IEST_UNDERWRITING_PL","BEST_FPERIOD_OVERRIDE="&amp;INDEX(tb_ConsensusEstimate,3,COLUMN())&amp;INDEX(tb_ConsensusEstimate,2,COLUMN())),0,FDS(MO.Ticker.FactSet,"FE_ESTIMATE(UW_INCOME,MEAN,"&amp;INDEX(tb_ConsensusEstimate,2,COLUMN())&amp;",+"&amp;INDEX(tb_ConsensusEstimate,3,COLUMN())&amp;",NOW"&amp;",,,'CURRENCY="&amp;HP.ReportCurrency&amp;"')"),0),"N/A")</f>
        <v>N/A</v>
      </c>
      <c r="BP779" s="857" t="str">
        <f ca="1">IFERROR(CHOOSE(MO.DataSourceIndex,BDP(MO.Ticker.Bloomberg&amp;" EQUITY","IEST_UNDERWRITING_PL","BEST_FPERIOD_OVERRIDE="&amp;INDEX(tb_ConsensusEstimate,3,COLUMN())&amp;INDEX(tb_ConsensusEstimate,2,COLUMN())),0,FDS(MO.Ticker.FactSet,"FE_ESTIMATE(UW_INCOME,MEAN,"&amp;INDEX(tb_ConsensusEstimate,2,COLUMN())&amp;",+"&amp;INDEX(tb_ConsensusEstimate,3,COLUMN())&amp;",NOW"&amp;",,,'CURRENCY="&amp;HP.ReportCurrency&amp;"')"),0),"N/A")</f>
        <v>N/A</v>
      </c>
      <c r="BQ779" s="857" t="str">
        <f ca="1">IFERROR(CHOOSE(MO.DataSourceIndex,BDP(MO.Ticker.Bloomberg&amp;" EQUITY","IEST_UNDERWRITING_PL","BEST_FPERIOD_OVERRIDE="&amp;INDEX(tb_ConsensusEstimate,3,COLUMN())&amp;INDEX(tb_ConsensusEstimate,2,COLUMN())),0,FDS(MO.Ticker.FactSet,"FE_ESTIMATE(UW_INCOME,MEAN,"&amp;INDEX(tb_ConsensusEstimate,2,COLUMN())&amp;",+"&amp;INDEX(tb_ConsensusEstimate,3,COLUMN())&amp;",NOW"&amp;",,,'CURRENCY="&amp;HP.ReportCurrency&amp;"')"),0),"N/A")</f>
        <v>N/A</v>
      </c>
      <c r="BR779" s="360" t="str">
        <f ca="1">IFERROR(CHOOSE(MO.DataSourceIndex,BDP(MO.Ticker.Bloomberg&amp;" EQUITY","IEST_UNDERWRITING_PL","BEST_FPERIOD_OVERRIDE="&amp;INDEX(tb_ConsensusEstimate,3,COLUMN())&amp;INDEX(tb_ConsensusEstimate,2,COLUMN())),0,FDS(MO.Ticker.FactSet,"FE_ESTIMATE(UW_INCOME,MEAN,"&amp;INDEX(tb_ConsensusEstimate,2,COLUMN())&amp;",+"&amp;INDEX(tb_ConsensusEstimate,3,COLUMN())&amp;",NOW"&amp;",,,'CURRENCY="&amp;HP.ReportCurrency&amp;"')"),0),"N/A")</f>
        <v>N/A</v>
      </c>
      <c r="BS779" s="345"/>
    </row>
    <row r="780" spans="1:71" s="24" customFormat="1" ht="15">
      <c r="A780" s="362" t="str">
        <f>$A$124</f>
        <v>Consensus Estimates - Total Combined Ratio excl. PYD &amp; CAT, %</v>
      </c>
      <c r="B780" s="828"/>
      <c r="C780" s="74"/>
      <c r="D780" s="74"/>
      <c r="E780" s="74"/>
      <c r="F780" s="74"/>
      <c r="G780" s="74"/>
      <c r="H780" s="828"/>
      <c r="I780" s="828"/>
      <c r="J780" s="828"/>
      <c r="K780" s="828"/>
      <c r="L780" s="828"/>
      <c r="M780" s="828"/>
      <c r="N780" s="828"/>
      <c r="O780" s="828"/>
      <c r="P780" s="828"/>
      <c r="Q780" s="828"/>
      <c r="R780" s="828"/>
      <c r="S780" s="828"/>
      <c r="T780" s="828"/>
      <c r="U780" s="828"/>
      <c r="V780" s="828"/>
      <c r="W780" s="828"/>
      <c r="X780" s="828"/>
      <c r="Y780" s="828"/>
      <c r="Z780" s="828"/>
      <c r="AA780" s="828"/>
      <c r="AB780" s="828"/>
      <c r="AC780" s="828"/>
      <c r="AD780" s="828"/>
      <c r="AE780" s="828"/>
      <c r="AF780" s="828"/>
      <c r="AG780" s="828"/>
      <c r="AH780" s="828"/>
      <c r="AI780" s="828"/>
      <c r="AJ780" s="828"/>
      <c r="AK780" s="828"/>
      <c r="AL780" s="828"/>
      <c r="AM780" s="828"/>
      <c r="AN780" s="828"/>
      <c r="AO780" s="828"/>
      <c r="AP780" s="828"/>
      <c r="AQ780" s="828"/>
      <c r="AR780" s="828"/>
      <c r="AS780" s="828"/>
      <c r="AT780" s="828"/>
      <c r="AU780" s="828"/>
      <c r="AV780" s="828"/>
      <c r="AW780" s="828"/>
      <c r="AX780" s="828"/>
      <c r="AY780" s="828"/>
      <c r="AZ780" s="828"/>
      <c r="BA780" s="828"/>
      <c r="BB780" s="828"/>
      <c r="BC780" s="828"/>
      <c r="BD780" s="828"/>
      <c r="BE780" s="828"/>
      <c r="BF780" s="828"/>
      <c r="BG780" s="828"/>
      <c r="BH780" s="829"/>
      <c r="BI780" s="857" t="str">
        <f ca="1">IFERROR(CHOOSE(MO.DataSourceIndex,BDP(MO.Ticker.Bloomberg&amp;" EQUITY","IEST_COMBINED_RATIO","BEST_FPERIOD_OVERRIDE="&amp;INDEX(tb_ConsensusEstimate,3,COLUMN())&amp;INDEX(tb_ConsensusEstimate,2,COLUMN())),0,FDS(MO.Ticker.FactSet,"FE_ESTIMATE(COMBINED_RATIO,MEAN,"&amp;INDEX(tb_ConsensusEstimate,2,COLUMN())&amp;",+"&amp;INDEX(tb_ConsensusEstimate,3,COLUMN())&amp;",NOW,,,'')"),_xll.TR(MO.Ticker.Thomson,"ZAV(TR.CombinedRatioMean)","Period="&amp;INDEX(tb_ConsensusEstimate,2,COLUMN())&amp;INDEX(tb_ConsensusEstimate,3,COLUMN())))/100,"N/A")</f>
        <v>N/A</v>
      </c>
      <c r="BJ780" s="857" t="str">
        <f ca="1">IFERROR(CHOOSE(MO.DataSourceIndex,BDP(MO.Ticker.Bloomberg&amp;" EQUITY","IEST_COMBINED_RATIO","BEST_FPERIOD_OVERRIDE="&amp;INDEX(tb_ConsensusEstimate,3,COLUMN())&amp;INDEX(tb_ConsensusEstimate,2,COLUMN())),0,FDS(MO.Ticker.FactSet,"FE_ESTIMATE(COMBINED_RATIO,MEAN,"&amp;INDEX(tb_ConsensusEstimate,2,COLUMN())&amp;",+"&amp;INDEX(tb_ConsensusEstimate,3,COLUMN())&amp;",NOW,,,'')"),_xll.TR(MO.Ticker.Thomson,"ZAV(TR.CombinedRatioMean)","Period="&amp;INDEX(tb_ConsensusEstimate,2,COLUMN())&amp;INDEX(tb_ConsensusEstimate,3,COLUMN())))/100,"N/A")</f>
        <v>N/A</v>
      </c>
      <c r="BK780" s="857" t="str">
        <f ca="1">IFERROR(CHOOSE(MO.DataSourceIndex,BDP(MO.Ticker.Bloomberg&amp;" EQUITY","IEST_COMBINED_RATIO","BEST_FPERIOD_OVERRIDE="&amp;INDEX(tb_ConsensusEstimate,3,COLUMN())&amp;INDEX(tb_ConsensusEstimate,2,COLUMN())),0,FDS(MO.Ticker.FactSet,"FE_ESTIMATE(COMBINED_RATIO,MEAN,"&amp;INDEX(tb_ConsensusEstimate,2,COLUMN())&amp;",+"&amp;INDEX(tb_ConsensusEstimate,3,COLUMN())&amp;",NOW,,,'')"),_xll.TR(MO.Ticker.Thomson,"ZAV(TR.CombinedRatioMean)","Period="&amp;INDEX(tb_ConsensusEstimate,2,COLUMN())&amp;INDEX(tb_ConsensusEstimate,3,COLUMN())))/100,"N/A")</f>
        <v>N/A</v>
      </c>
      <c r="BL780" s="857" t="str">
        <f ca="1">IFERROR(CHOOSE(MO.DataSourceIndex,BDP(MO.Ticker.Bloomberg&amp;" EQUITY","IEST_COMBINED_RATIO","BEST_FPERIOD_OVERRIDE="&amp;INDEX(tb_ConsensusEstimate,3,COLUMN())&amp;INDEX(tb_ConsensusEstimate,2,COLUMN())),0,FDS(MO.Ticker.FactSet,"FE_ESTIMATE(COMBINED_RATIO,MEAN,"&amp;INDEX(tb_ConsensusEstimate,2,COLUMN())&amp;",+"&amp;INDEX(tb_ConsensusEstimate,3,COLUMN())&amp;",NOW,,,'')"),_xll.TR(MO.Ticker.Thomson,"ZAV(TR.CombinedRatioMean)","Period="&amp;INDEX(tb_ConsensusEstimate,2,COLUMN())&amp;INDEX(tb_ConsensusEstimate,3,COLUMN())))/100,"N/A")</f>
        <v>N/A</v>
      </c>
      <c r="BM780" s="857" t="str">
        <f ca="1">IFERROR(CHOOSE(MO.DataSourceIndex,BDP(MO.Ticker.Bloomberg&amp;" EQUITY","IEST_COMBINED_RATIO","BEST_FPERIOD_OVERRIDE="&amp;INDEX(tb_ConsensusEstimate,3,COLUMN())&amp;INDEX(tb_ConsensusEstimate,2,COLUMN())),0,FDS(MO.Ticker.FactSet,"FE_ESTIMATE(COMBINED_RATIO,MEAN,"&amp;INDEX(tb_ConsensusEstimate,2,COLUMN())&amp;",+"&amp;INDEX(tb_ConsensusEstimate,3,COLUMN())&amp;",NOW,,,'')"),_xll.TR(MO.Ticker.Thomson,"ZAV(TR.CombinedRatioMean)","Period="&amp;INDEX(tb_ConsensusEstimate,2,COLUMN())&amp;INDEX(tb_ConsensusEstimate,3,COLUMN())))/100,"N/A")</f>
        <v>N/A</v>
      </c>
      <c r="BN780" s="857" t="str">
        <f ca="1">IFERROR(CHOOSE(MO.DataSourceIndex,BDP(MO.Ticker.Bloomberg&amp;" EQUITY","IEST_COMBINED_RATIO","BEST_FPERIOD_OVERRIDE="&amp;INDEX(tb_ConsensusEstimate,3,COLUMN())&amp;INDEX(tb_ConsensusEstimate,2,COLUMN())),0,FDS(MO.Ticker.FactSet,"FE_ESTIMATE(COMBINED_RATIO,MEAN,"&amp;INDEX(tb_ConsensusEstimate,2,COLUMN())&amp;",+"&amp;INDEX(tb_ConsensusEstimate,3,COLUMN())&amp;",NOW,,,'')"),_xll.TR(MO.Ticker.Thomson,"ZAV(TR.CombinedRatioMean)","Period="&amp;INDEX(tb_ConsensusEstimate,2,COLUMN())&amp;INDEX(tb_ConsensusEstimate,3,COLUMN())))/100,"N/A")</f>
        <v>N/A</v>
      </c>
      <c r="BO780" s="857" t="str">
        <f ca="1">IFERROR(CHOOSE(MO.DataSourceIndex,BDP(MO.Ticker.Bloomberg&amp;" EQUITY","IEST_COMBINED_RATIO","BEST_FPERIOD_OVERRIDE="&amp;INDEX(tb_ConsensusEstimate,3,COLUMN())&amp;INDEX(tb_ConsensusEstimate,2,COLUMN())),0,FDS(MO.Ticker.FactSet,"FE_ESTIMATE(COMBINED_RATIO,MEAN,"&amp;INDEX(tb_ConsensusEstimate,2,COLUMN())&amp;",+"&amp;INDEX(tb_ConsensusEstimate,3,COLUMN())&amp;",NOW,,,'')"),_xll.TR(MO.Ticker.Thomson,"ZAV(TR.CombinedRatioMean)","Period="&amp;INDEX(tb_ConsensusEstimate,2,COLUMN())&amp;INDEX(tb_ConsensusEstimate,3,COLUMN())))/100,"N/A")</f>
        <v>N/A</v>
      </c>
      <c r="BP780" s="857" t="str">
        <f ca="1">IFERROR(CHOOSE(MO.DataSourceIndex,BDP(MO.Ticker.Bloomberg&amp;" EQUITY","IEST_COMBINED_RATIO","BEST_FPERIOD_OVERRIDE="&amp;INDEX(tb_ConsensusEstimate,3,COLUMN())&amp;INDEX(tb_ConsensusEstimate,2,COLUMN())),0,FDS(MO.Ticker.FactSet,"FE_ESTIMATE(COMBINED_RATIO,MEAN,"&amp;INDEX(tb_ConsensusEstimate,2,COLUMN())&amp;",+"&amp;INDEX(tb_ConsensusEstimate,3,COLUMN())&amp;",NOW,,,'')"),_xll.TR(MO.Ticker.Thomson,"ZAV(TR.CombinedRatioMean)","Period="&amp;INDEX(tb_ConsensusEstimate,2,COLUMN())&amp;INDEX(tb_ConsensusEstimate,3,COLUMN())))/100,"N/A")</f>
        <v>N/A</v>
      </c>
      <c r="BQ780" s="857" t="str">
        <f ca="1">IFERROR(CHOOSE(MO.DataSourceIndex,BDP(MO.Ticker.Bloomberg&amp;" EQUITY","IEST_COMBINED_RATIO","BEST_FPERIOD_OVERRIDE="&amp;INDEX(tb_ConsensusEstimate,3,COLUMN())&amp;INDEX(tb_ConsensusEstimate,2,COLUMN())),0,FDS(MO.Ticker.FactSet,"FE_ESTIMATE(COMBINED_RATIO,MEAN,"&amp;INDEX(tb_ConsensusEstimate,2,COLUMN())&amp;",+"&amp;INDEX(tb_ConsensusEstimate,3,COLUMN())&amp;",NOW,,,'')"),_xll.TR(MO.Ticker.Thomson,"ZAV(TR.CombinedRatioMean)","Period="&amp;INDEX(tb_ConsensusEstimate,2,COLUMN())&amp;INDEX(tb_ConsensusEstimate,3,COLUMN())))/100,"N/A")</f>
        <v>N/A</v>
      </c>
      <c r="BR780" s="360" t="str">
        <f ca="1">IFERROR(CHOOSE(MO.DataSourceIndex,BDP(MO.Ticker.Bloomberg&amp;" EQUITY","IEST_COMBINED_RATIO","BEST_FPERIOD_OVERRIDE="&amp;INDEX(tb_ConsensusEstimate,3,COLUMN())&amp;INDEX(tb_ConsensusEstimate,2,COLUMN())),0,FDS(MO.Ticker.FactSet,"FE_ESTIMATE(COMBINED_RATIO,MEAN,"&amp;INDEX(tb_ConsensusEstimate,2,COLUMN())&amp;",+"&amp;INDEX(tb_ConsensusEstimate,3,COLUMN())&amp;",NOW,,,'')"),_xll.TR(MO.Ticker.Thomson,"ZAV(TR.CombinedRatioMean)","Period="&amp;INDEX(tb_ConsensusEstimate,2,COLUMN())&amp;INDEX(tb_ConsensusEstimate,3,COLUMN())))/100,"N/A")</f>
        <v>N/A</v>
      </c>
      <c r="BS780" s="345"/>
    </row>
    <row r="781" spans="1:71" s="24" customFormat="1" ht="15">
      <c r="A781" s="362" t="str">
        <f>$A$394</f>
        <v>Consensus Estimates - Net Revenue</v>
      </c>
      <c r="B781" s="828"/>
      <c r="C781" s="832"/>
      <c r="D781" s="832"/>
      <c r="E781" s="832"/>
      <c r="F781" s="832"/>
      <c r="G781" s="832"/>
      <c r="H781" s="828"/>
      <c r="I781" s="828"/>
      <c r="J781" s="828"/>
      <c r="K781" s="828"/>
      <c r="L781" s="828"/>
      <c r="M781" s="828"/>
      <c r="N781" s="828"/>
      <c r="O781" s="828"/>
      <c r="P781" s="828"/>
      <c r="Q781" s="828"/>
      <c r="R781" s="828"/>
      <c r="S781" s="828"/>
      <c r="T781" s="828"/>
      <c r="U781" s="828"/>
      <c r="V781" s="828"/>
      <c r="W781" s="828"/>
      <c r="X781" s="828"/>
      <c r="Y781" s="828"/>
      <c r="Z781" s="828"/>
      <c r="AA781" s="828"/>
      <c r="AB781" s="828"/>
      <c r="AC781" s="828"/>
      <c r="AD781" s="828"/>
      <c r="AE781" s="828"/>
      <c r="AF781" s="828"/>
      <c r="AG781" s="828"/>
      <c r="AH781" s="828"/>
      <c r="AI781" s="828"/>
      <c r="AJ781" s="828"/>
      <c r="AK781" s="828"/>
      <c r="AL781" s="828"/>
      <c r="AM781" s="828"/>
      <c r="AN781" s="828"/>
      <c r="AO781" s="828"/>
      <c r="AP781" s="828"/>
      <c r="AQ781" s="828"/>
      <c r="AR781" s="828"/>
      <c r="AS781" s="828"/>
      <c r="AT781" s="828"/>
      <c r="AU781" s="828"/>
      <c r="AV781" s="828"/>
      <c r="AW781" s="828"/>
      <c r="AX781" s="828"/>
      <c r="AY781" s="828"/>
      <c r="AZ781" s="828"/>
      <c r="BA781" s="828"/>
      <c r="BB781" s="828"/>
      <c r="BC781" s="828"/>
      <c r="BD781" s="828"/>
      <c r="BE781" s="828"/>
      <c r="BF781" s="828"/>
      <c r="BG781" s="828"/>
      <c r="BH781" s="829"/>
      <c r="BI781" s="857"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J781" s="857"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K781" s="857"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L781" s="857"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M781" s="857"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N781" s="857"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O781" s="857"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P781" s="857"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Q781" s="857"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R781" s="360" t="str">
        <f ca="1">IFERROR(CHOOSE(MO.DataSourceIndex,BDP(MO.Ticker.Bloomberg&amp;" EQUITY","BEST_SALES","BEST_FPERIOD_OVERRIDE="&amp;INDEX(tb_ConsensusEstimate,3,COLUMN())&amp;INDEX(tb_ConsensusEstimate,2,COLUMN())),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BS781" s="345"/>
    </row>
    <row r="782" spans="1:71" s="24" customFormat="1" ht="15">
      <c r="A782" s="362" t="str">
        <f>$A$401</f>
        <v>Consensus Estimates - EBT</v>
      </c>
      <c r="B782" s="828"/>
      <c r="C782" s="832"/>
      <c r="D782" s="832"/>
      <c r="E782" s="832"/>
      <c r="F782" s="832"/>
      <c r="G782" s="832"/>
      <c r="H782" s="828"/>
      <c r="I782" s="828"/>
      <c r="J782" s="828"/>
      <c r="K782" s="828"/>
      <c r="L782" s="828"/>
      <c r="M782" s="828"/>
      <c r="N782" s="828"/>
      <c r="O782" s="828"/>
      <c r="P782" s="828"/>
      <c r="Q782" s="828"/>
      <c r="R782" s="828"/>
      <c r="S782" s="828"/>
      <c r="T782" s="828"/>
      <c r="U782" s="828"/>
      <c r="V782" s="828"/>
      <c r="W782" s="828"/>
      <c r="X782" s="828"/>
      <c r="Y782" s="828"/>
      <c r="Z782" s="828"/>
      <c r="AA782" s="828"/>
      <c r="AB782" s="828"/>
      <c r="AC782" s="828"/>
      <c r="AD782" s="828"/>
      <c r="AE782" s="828"/>
      <c r="AF782" s="828"/>
      <c r="AG782" s="828"/>
      <c r="AH782" s="828"/>
      <c r="AI782" s="828"/>
      <c r="AJ782" s="828"/>
      <c r="AK782" s="828"/>
      <c r="AL782" s="828"/>
      <c r="AM782" s="828"/>
      <c r="AN782" s="828"/>
      <c r="AO782" s="828"/>
      <c r="AP782" s="828"/>
      <c r="AQ782" s="828"/>
      <c r="AR782" s="828"/>
      <c r="AS782" s="828"/>
      <c r="AT782" s="828"/>
      <c r="AU782" s="828"/>
      <c r="AV782" s="828"/>
      <c r="AW782" s="828"/>
      <c r="AX782" s="828"/>
      <c r="AY782" s="828"/>
      <c r="AZ782" s="828"/>
      <c r="BA782" s="828"/>
      <c r="BB782" s="828"/>
      <c r="BC782" s="828"/>
      <c r="BD782" s="828"/>
      <c r="BE782" s="828"/>
      <c r="BF782" s="828"/>
      <c r="BG782" s="828"/>
      <c r="BH782" s="829"/>
      <c r="BI782" s="857"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J782" s="857"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K782" s="857"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L782" s="857"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M782" s="857"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N782" s="857"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O782" s="857"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P782" s="857"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Q782" s="857"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R782" s="360" t="str">
        <f ca="1">IFERROR(CHOOSE(MO.DataSourceIndex,BDP(MO.Ticker.Bloomberg&amp;" EQUITY","BEST_PTP","BEST_FPERIOD_OVERRIDE="&amp;INDEX(tb_ConsensusEstimate,3,COLUMN())&amp;INDEX(tb_ConsensusEstimate,2,COLUMN())),0,FDS(MO.Ticker.FactSet,"FE_ESTIMATE(PTX_INC,MEAN,"&amp;INDEX(tb_ConsensusEstimate,2,COLUMN())&amp;",+"&amp;INDEX(tb_ConsensusEstimate,3,COLUMN())&amp;",NOW"&amp;",,,'CURRENCY="&amp;HP.ReportCurrency&amp;"')"),_xll.TR(MO.Ticker.Thomson,"ZAV(TR.PreTaxProfitMean(Scale=6))","Period="&amp;INDEX(tb_ConsensusEstimate,2,COLUMN())&amp;INDEX(tb_ConsensusEstimate,3,COLUMN()))),"N/A")</f>
        <v>N/A</v>
      </c>
      <c r="BS782" s="345"/>
    </row>
    <row r="783" spans="1:71" s="24" customFormat="1" ht="15">
      <c r="A783" s="362" t="str">
        <f>$A$423</f>
        <v>Consensus Estimates - Core Income Per Share - WAD</v>
      </c>
      <c r="B783" s="828"/>
      <c r="C783" s="176"/>
      <c r="D783" s="176"/>
      <c r="E783" s="176"/>
      <c r="F783" s="176"/>
      <c r="G783" s="176"/>
      <c r="H783" s="828"/>
      <c r="I783" s="828"/>
      <c r="J783" s="828"/>
      <c r="K783" s="828"/>
      <c r="L783" s="828"/>
      <c r="M783" s="828"/>
      <c r="N783" s="828"/>
      <c r="O783" s="828"/>
      <c r="P783" s="828"/>
      <c r="Q783" s="828"/>
      <c r="R783" s="828"/>
      <c r="S783" s="828"/>
      <c r="T783" s="828"/>
      <c r="U783" s="828"/>
      <c r="V783" s="828"/>
      <c r="W783" s="828"/>
      <c r="X783" s="828"/>
      <c r="Y783" s="828"/>
      <c r="Z783" s="828"/>
      <c r="AA783" s="828"/>
      <c r="AB783" s="828"/>
      <c r="AC783" s="828"/>
      <c r="AD783" s="828"/>
      <c r="AE783" s="828"/>
      <c r="AF783" s="828"/>
      <c r="AG783" s="828"/>
      <c r="AH783" s="828"/>
      <c r="AI783" s="828"/>
      <c r="AJ783" s="828"/>
      <c r="AK783" s="828"/>
      <c r="AL783" s="828"/>
      <c r="AM783" s="828"/>
      <c r="AN783" s="828"/>
      <c r="AO783" s="828"/>
      <c r="AP783" s="828"/>
      <c r="AQ783" s="828"/>
      <c r="AR783" s="828"/>
      <c r="AS783" s="828"/>
      <c r="AT783" s="828"/>
      <c r="AU783" s="828"/>
      <c r="AV783" s="828"/>
      <c r="AW783" s="828"/>
      <c r="AX783" s="828"/>
      <c r="AY783" s="828"/>
      <c r="AZ783" s="828"/>
      <c r="BA783" s="828"/>
      <c r="BB783" s="828"/>
      <c r="BC783" s="828"/>
      <c r="BD783" s="828"/>
      <c r="BE783" s="828"/>
      <c r="BF783" s="828"/>
      <c r="BG783" s="828"/>
      <c r="BH783" s="829"/>
      <c r="BI783" s="857"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J783" s="857"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K783" s="857"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L783" s="857"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M783" s="857"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N783" s="857"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O783" s="857"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P783" s="857"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Q783" s="857"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R783" s="360" t="str">
        <f ca="1">IFERROR(CHOOSE(MO.DataSourceIndex,BDP(MO.Ticker.Bloomberg&amp;" EQUITY","BEST_EPS","BEST_FPERIOD_OVERRIDE="&amp;INDEX(tb_ConsensusEstimate,3,COLUMN())&amp;INDEX(tb_ConsensusEstimate,2,COLUMN())),CIQ(MO.Ticker.CapIQ,"IQ_EPS_NORM_EST","IQ_"&amp;INDEX(tb_ConsensusEstimate,2,COLUMN())&amp;"+"&amp;INDEX(tb_ConsensusEstimate,3,COLUMN())),FDS(MO.Ticker.FactSet,"FE_ESTIMATE(EPS,MEAN,"&amp;INDEX(tb_ConsensusEstimate,2,COLUMN())&amp;",+"&amp;INDEX(tb_ConsensusEstimate,3,COLUMN())&amp;",NOW"&amp;",,,'CURRENCY="&amp;HP.ReportCurrency&amp;"')"),_xll.TR(MO.Ticker.Thomson,"ZAV(TR.EPSMean)","Period="&amp;INDEX(tb_ConsensusEstimate,2,COLUMN())&amp;INDEX(tb_ConsensusEstimate,3,COLUMN()))),"N/A")</f>
        <v>N/A</v>
      </c>
      <c r="BS783" s="345"/>
    </row>
    <row r="784" spans="1:71" s="24" customFormat="1" ht="15">
      <c r="A784" s="362" t="str">
        <f>$A$471</f>
        <v>Consensus Estimates - Book Value per Common Share</v>
      </c>
      <c r="B784" s="828"/>
      <c r="C784" s="35"/>
      <c r="D784" s="35"/>
      <c r="E784" s="35"/>
      <c r="F784" s="35"/>
      <c r="G784" s="35"/>
      <c r="H784" s="828"/>
      <c r="I784" s="828"/>
      <c r="J784" s="828"/>
      <c r="K784" s="828"/>
      <c r="L784" s="828"/>
      <c r="M784" s="828"/>
      <c r="N784" s="828"/>
      <c r="O784" s="828"/>
      <c r="P784" s="828"/>
      <c r="Q784" s="828"/>
      <c r="R784" s="828"/>
      <c r="S784" s="828"/>
      <c r="T784" s="828"/>
      <c r="U784" s="828"/>
      <c r="V784" s="828"/>
      <c r="W784" s="828"/>
      <c r="X784" s="828"/>
      <c r="Y784" s="828"/>
      <c r="Z784" s="828"/>
      <c r="AA784" s="828"/>
      <c r="AB784" s="828"/>
      <c r="AC784" s="828"/>
      <c r="AD784" s="828"/>
      <c r="AE784" s="828"/>
      <c r="AF784" s="828"/>
      <c r="AG784" s="828"/>
      <c r="AH784" s="828"/>
      <c r="AI784" s="828"/>
      <c r="AJ784" s="828"/>
      <c r="AK784" s="828"/>
      <c r="AL784" s="828"/>
      <c r="AM784" s="828"/>
      <c r="AN784" s="828"/>
      <c r="AO784" s="828"/>
      <c r="AP784" s="828"/>
      <c r="AQ784" s="828"/>
      <c r="AR784" s="828"/>
      <c r="AS784" s="828"/>
      <c r="AT784" s="828"/>
      <c r="AU784" s="828"/>
      <c r="AV784" s="828"/>
      <c r="AW784" s="828"/>
      <c r="AX784" s="828"/>
      <c r="AY784" s="828"/>
      <c r="AZ784" s="828"/>
      <c r="BA784" s="828"/>
      <c r="BB784" s="828"/>
      <c r="BC784" s="828"/>
      <c r="BD784" s="828"/>
      <c r="BE784" s="828"/>
      <c r="BF784" s="828"/>
      <c r="BG784" s="828"/>
      <c r="BH784" s="829"/>
      <c r="BI784" s="857"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J784" s="857"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K784" s="857"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L784" s="857"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M784" s="857"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N784" s="857"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O784" s="857"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P784" s="857"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Q784" s="857"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R784" s="360" t="str">
        <f ca="1">IFERROR(CHOOSE(MO.DataSourceIndex,BDP(MO.Ticker.Bloomberg&amp;" EQUITY","BEST_BPS","BEST_FPERIOD_OVERRIDE="&amp;INDEX(tb_ConsensusEstimate,3,COLUMN())&amp;INDEX(tb_ConsensusEstimate,2,COLUMN())),CIQ(MO.Ticker.CapIQ,"IQ_BV_SHARE_EST","IQ_"&amp;INDEX(tb_ConsensusEstimate,2,COLUMN())&amp;"+"&amp;INDEX(tb_ConsensusEstimate,3,COLUMN())),FDS(MO.Ticker.FactSet,"FE_ESTIMATE(BPS,MEAN,"&amp;INDEX(tb_ConsensusEstimate,2,COLUMN())&amp;",+"&amp;INDEX(tb_ConsensusEstimate,3,COLUMN())&amp;",NOW"&amp;",,,'CURRENCY="&amp;HP.ReportCurrency&amp;"')"),_xll.TR(MO.Ticker.Thomson,"ZAV(TR.BVPSMean)","Period="&amp;INDEX(tb_ConsensusEstimate,2,COLUMN())&amp;INDEX(tb_ConsensusEstimate,3,COLUMN()))),"N/A")</f>
        <v>N/A</v>
      </c>
      <c r="BS784" s="345"/>
    </row>
    <row r="785" spans="1:71" s="24" customFormat="1" ht="15">
      <c r="A785" s="362" t="str">
        <f>$A$477</f>
        <v>Consensus Estimates - Return on Average Common Equity, %</v>
      </c>
      <c r="B785" s="828"/>
      <c r="C785" s="74"/>
      <c r="D785" s="74"/>
      <c r="E785" s="74"/>
      <c r="F785" s="74"/>
      <c r="G785" s="74"/>
      <c r="H785" s="828"/>
      <c r="I785" s="828"/>
      <c r="J785" s="828"/>
      <c r="K785" s="828"/>
      <c r="L785" s="828"/>
      <c r="M785" s="828"/>
      <c r="N785" s="828"/>
      <c r="O785" s="828"/>
      <c r="P785" s="828"/>
      <c r="Q785" s="828"/>
      <c r="R785" s="828"/>
      <c r="S785" s="828"/>
      <c r="T785" s="828"/>
      <c r="U785" s="828"/>
      <c r="V785" s="828"/>
      <c r="W785" s="828"/>
      <c r="X785" s="828"/>
      <c r="Y785" s="828"/>
      <c r="Z785" s="828"/>
      <c r="AA785" s="828"/>
      <c r="AB785" s="828"/>
      <c r="AC785" s="828"/>
      <c r="AD785" s="828"/>
      <c r="AE785" s="828"/>
      <c r="AF785" s="828"/>
      <c r="AG785" s="828"/>
      <c r="AH785" s="828"/>
      <c r="AI785" s="828"/>
      <c r="AJ785" s="828"/>
      <c r="AK785" s="828"/>
      <c r="AL785" s="828"/>
      <c r="AM785" s="828"/>
      <c r="AN785" s="828"/>
      <c r="AO785" s="828"/>
      <c r="AP785" s="828"/>
      <c r="AQ785" s="828"/>
      <c r="AR785" s="828"/>
      <c r="AS785" s="828"/>
      <c r="AT785" s="828"/>
      <c r="AU785" s="828"/>
      <c r="AV785" s="828"/>
      <c r="AW785" s="828"/>
      <c r="AX785" s="828"/>
      <c r="AY785" s="828"/>
      <c r="AZ785" s="828"/>
      <c r="BA785" s="828"/>
      <c r="BB785" s="828"/>
      <c r="BC785" s="828"/>
      <c r="BD785" s="828"/>
      <c r="BE785" s="828"/>
      <c r="BF785" s="828"/>
      <c r="BG785" s="828"/>
      <c r="BH785" s="829"/>
      <c r="BI785" s="857"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J785" s="857"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K785" s="857"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L785" s="857"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M785" s="857"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N785" s="857"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O785" s="857"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P785" s="857"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Q785" s="857"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R785" s="360" t="str">
        <f ca="1">IFERROR(CHOOSE(MO.DataSourceIndex,BDP(MO.Ticker.Bloomberg&amp;" EQUITY","BEST_ROE","BEST_FPERIOD_OVERRIDE="&amp;INDEX(tb_ConsensusEstimate,3,COLUMN())&amp;INDEX(tb_ConsensusEstimate,2,COLUMN())),CIQ(MO.Ticker.CapIQ,"IQ_RETURN_EQUITY_EST","IQ_"&amp;INDEX(tb_ConsensusEstimate,2,COLUMN())&amp;"+"&amp;INDEX(tb_ConsensusEstimate,3,COLUMN())),FDS(MO.Ticker.FactSet,"FE_ESTIMATE(ROAE,MEAN,"&amp;INDEX(tb_ConsensusEstimate,2,COLUMN())&amp;",+"&amp;INDEX(tb_ConsensusEstimate,3,COLUMN())&amp;",NOW,,,'')"),_xll.TR(MO.Ticker.Thomson,"ZAV(TR.ROEMean)","Period="&amp;INDEX(tb_ConsensusEstimate,2,COLUMN())&amp;INDEX(tb_ConsensusEstimate,3,COLUMN())))/100,"N/A")</f>
        <v>N/A</v>
      </c>
      <c r="BS785" s="345"/>
    </row>
    <row r="786" spans="1:71" s="24" customFormat="1" ht="15">
      <c r="A786" s="363"/>
      <c r="B786" s="358"/>
      <c r="C786" s="359"/>
      <c r="D786" s="359"/>
      <c r="E786" s="358"/>
      <c r="F786" s="358"/>
      <c r="G786" s="358"/>
      <c r="H786" s="358"/>
      <c r="I786" s="358"/>
      <c r="J786" s="358"/>
      <c r="K786" s="358"/>
      <c r="L786" s="358"/>
      <c r="M786" s="358"/>
      <c r="N786" s="358"/>
      <c r="O786" s="358"/>
      <c r="P786" s="358"/>
      <c r="Q786" s="358"/>
      <c r="R786" s="358"/>
      <c r="S786" s="358"/>
      <c r="T786" s="358"/>
      <c r="U786" s="358"/>
      <c r="V786" s="358"/>
      <c r="W786" s="358"/>
      <c r="X786" s="358"/>
      <c r="Y786" s="358"/>
      <c r="Z786" s="358"/>
      <c r="AA786" s="358"/>
      <c r="AB786" s="358"/>
      <c r="AC786" s="358"/>
      <c r="AD786" s="358"/>
      <c r="AE786" s="358"/>
      <c r="AF786" s="358"/>
      <c r="AG786" s="358"/>
      <c r="AH786" s="358"/>
      <c r="AI786" s="358"/>
      <c r="AJ786" s="358"/>
      <c r="AK786" s="358"/>
      <c r="AL786" s="358"/>
      <c r="AM786" s="358"/>
      <c r="AN786" s="358"/>
      <c r="AO786" s="358"/>
      <c r="AP786" s="358"/>
      <c r="AQ786" s="358"/>
      <c r="AR786" s="358"/>
      <c r="AS786" s="358"/>
      <c r="AT786" s="358"/>
      <c r="AU786" s="358"/>
      <c r="AV786" s="358"/>
      <c r="AW786" s="358"/>
      <c r="AX786" s="358"/>
      <c r="AY786" s="358"/>
      <c r="AZ786" s="358"/>
      <c r="BA786" s="358"/>
      <c r="BB786" s="358"/>
      <c r="BC786" s="358"/>
      <c r="BD786" s="358"/>
      <c r="BE786" s="358"/>
      <c r="BF786" s="358"/>
      <c r="BG786" s="358"/>
      <c r="BH786" s="558"/>
      <c r="BI786" s="358"/>
      <c r="BJ786" s="358"/>
      <c r="BK786" s="358"/>
      <c r="BL786" s="358"/>
      <c r="BM786" s="358"/>
      <c r="BN786" s="358"/>
      <c r="BO786" s="358"/>
      <c r="BP786" s="358"/>
      <c r="BQ786" s="358"/>
      <c r="BR786" s="361"/>
      <c r="BS786" s="345"/>
    </row>
    <row r="787" spans="1:71" s="24" customFormat="1" ht="15">
      <c r="A787" s="346"/>
      <c r="B787" s="324"/>
      <c r="C787" s="347"/>
      <c r="D787" s="347"/>
      <c r="E787" s="324"/>
      <c r="F787" s="324"/>
      <c r="G787" s="324"/>
      <c r="H787" s="324"/>
      <c r="I787" s="324"/>
      <c r="J787" s="324"/>
      <c r="K787" s="324"/>
      <c r="L787" s="324"/>
      <c r="M787" s="324"/>
      <c r="N787" s="324"/>
      <c r="O787" s="324"/>
      <c r="P787" s="324"/>
      <c r="Q787" s="324"/>
      <c r="R787" s="324"/>
      <c r="S787" s="324"/>
      <c r="T787" s="324"/>
      <c r="U787" s="324"/>
      <c r="V787" s="324"/>
      <c r="W787" s="324"/>
      <c r="X787" s="324"/>
      <c r="Y787" s="324"/>
      <c r="Z787" s="324"/>
      <c r="AA787" s="324"/>
      <c r="AB787" s="324"/>
      <c r="AC787" s="324"/>
      <c r="AD787" s="324"/>
      <c r="AE787" s="324"/>
      <c r="AF787" s="324"/>
      <c r="AG787" s="324"/>
      <c r="AH787" s="324"/>
      <c r="AI787" s="324"/>
      <c r="AJ787" s="324"/>
      <c r="AK787" s="324"/>
      <c r="AL787" s="324"/>
      <c r="AM787" s="324"/>
      <c r="AN787" s="324"/>
      <c r="AO787" s="324"/>
      <c r="AP787" s="324"/>
      <c r="AQ787" s="324"/>
      <c r="AR787" s="324"/>
      <c r="AS787" s="324"/>
      <c r="AT787" s="324"/>
      <c r="AU787" s="324"/>
      <c r="AV787" s="324"/>
      <c r="AW787" s="324"/>
      <c r="AX787" s="324"/>
      <c r="AY787" s="324"/>
      <c r="AZ787" s="324"/>
      <c r="BA787" s="324"/>
      <c r="BB787" s="324"/>
      <c r="BC787" s="324"/>
      <c r="BD787" s="324"/>
      <c r="BE787" s="324"/>
      <c r="BF787" s="324"/>
      <c r="BG787" s="324"/>
      <c r="BH787" s="559"/>
      <c r="BI787" s="324"/>
      <c r="BJ787" s="324"/>
      <c r="BK787" s="324"/>
      <c r="BL787" s="324"/>
      <c r="BM787" s="324"/>
      <c r="BN787" s="324"/>
      <c r="BO787" s="324"/>
      <c r="BP787" s="324"/>
      <c r="BQ787" s="324"/>
      <c r="BR787" s="324"/>
      <c r="BS787" s="833"/>
    </row>
    <row r="788" spans="1:71" s="24" customFormat="1" ht="15">
      <c r="A788" s="281" t="s">
        <v>301</v>
      </c>
      <c r="B788" s="278"/>
      <c r="C788" s="279"/>
      <c r="D788" s="279"/>
      <c r="E788" s="278"/>
      <c r="F788" s="278"/>
      <c r="G788" s="278"/>
      <c r="H788" s="278"/>
      <c r="I788" s="278"/>
      <c r="J788" s="278"/>
      <c r="K788" s="278"/>
      <c r="L788" s="278"/>
      <c r="M788" s="278"/>
      <c r="N788" s="278"/>
      <c r="O788" s="278"/>
      <c r="P788" s="278"/>
      <c r="Q788" s="278"/>
      <c r="R788" s="278"/>
      <c r="S788" s="278"/>
      <c r="T788" s="278"/>
      <c r="U788" s="278"/>
      <c r="V788" s="278"/>
      <c r="W788" s="278"/>
      <c r="X788" s="278"/>
      <c r="Y788" s="278"/>
      <c r="Z788" s="278"/>
      <c r="AA788" s="278"/>
      <c r="AB788" s="278"/>
      <c r="AC788" s="278"/>
      <c r="AD788" s="278"/>
      <c r="AE788" s="278"/>
      <c r="AF788" s="278"/>
      <c r="AG788" s="278"/>
      <c r="AH788" s="278"/>
      <c r="AI788" s="278"/>
      <c r="AJ788" s="278"/>
      <c r="AK788" s="278"/>
      <c r="AL788" s="278"/>
      <c r="AM788" s="278"/>
      <c r="AN788" s="278"/>
      <c r="AO788" s="278"/>
      <c r="AP788" s="278"/>
      <c r="AQ788" s="278"/>
      <c r="AR788" s="278"/>
      <c r="AS788" s="278"/>
      <c r="AT788" s="278"/>
      <c r="AU788" s="278"/>
      <c r="AV788" s="278"/>
      <c r="AW788" s="278"/>
      <c r="AX788" s="278"/>
      <c r="AY788" s="278"/>
      <c r="AZ788" s="278"/>
      <c r="BA788" s="278"/>
      <c r="BB788" s="278"/>
      <c r="BC788" s="278"/>
      <c r="BD788" s="278"/>
      <c r="BE788" s="278"/>
      <c r="BF788" s="278"/>
      <c r="BG788" s="278"/>
      <c r="BH788" s="560"/>
      <c r="BI788" s="278"/>
      <c r="BJ788" s="278"/>
      <c r="BK788" s="278"/>
      <c r="BL788" s="278"/>
      <c r="BM788" s="278"/>
      <c r="BN788" s="278"/>
      <c r="BO788" s="278"/>
      <c r="BP788" s="278"/>
      <c r="BQ788" s="278"/>
      <c r="BR788" s="280"/>
      <c r="BS788" s="345"/>
    </row>
    <row r="789" spans="1:71" s="24" customFormat="1" ht="15">
      <c r="A789" s="282" t="s">
        <v>302</v>
      </c>
      <c r="B789" s="828"/>
      <c r="C789" s="593">
        <f t="shared" si="1470" ref="C789:AQ789">INDEX(MO_Common_QEndDate,0,COLUMN())-INDEX(MO_Common_FPDays,0,COLUMN())+1</f>
        <v>39814</v>
      </c>
      <c r="D789" s="593">
        <f t="shared" si="1470"/>
        <v>40179</v>
      </c>
      <c r="E789" s="594">
        <f t="shared" si="1470"/>
        <v>40544</v>
      </c>
      <c r="F789" s="594">
        <f t="shared" si="1470"/>
        <v>40909</v>
      </c>
      <c r="G789" s="594">
        <f t="shared" si="1470"/>
        <v>41275</v>
      </c>
      <c r="H789" s="594">
        <f t="shared" si="1470"/>
        <v>41640</v>
      </c>
      <c r="I789" s="594">
        <f t="shared" si="1470"/>
        <v>41730</v>
      </c>
      <c r="J789" s="594">
        <f t="shared" si="1470"/>
        <v>41821</v>
      </c>
      <c r="K789" s="594">
        <f t="shared" si="1470"/>
        <v>41913</v>
      </c>
      <c r="L789" s="594">
        <f t="shared" si="1470"/>
        <v>41640</v>
      </c>
      <c r="M789" s="594">
        <f t="shared" si="1470"/>
        <v>42005</v>
      </c>
      <c r="N789" s="594">
        <f t="shared" si="1470"/>
        <v>42095</v>
      </c>
      <c r="O789" s="594">
        <f t="shared" si="1470"/>
        <v>42186</v>
      </c>
      <c r="P789" s="594">
        <f t="shared" si="1470"/>
        <v>42278</v>
      </c>
      <c r="Q789" s="594">
        <f t="shared" si="1470"/>
        <v>42005</v>
      </c>
      <c r="R789" s="594">
        <f t="shared" si="1470"/>
        <v>42370</v>
      </c>
      <c r="S789" s="594">
        <f t="shared" si="1470"/>
        <v>42461</v>
      </c>
      <c r="T789" s="594">
        <f t="shared" si="1470"/>
        <v>42552</v>
      </c>
      <c r="U789" s="594">
        <f t="shared" si="1470"/>
        <v>42644</v>
      </c>
      <c r="V789" s="594">
        <f t="shared" si="1470"/>
        <v>42370</v>
      </c>
      <c r="W789" s="594">
        <f t="shared" si="1470"/>
        <v>42736</v>
      </c>
      <c r="X789" s="594">
        <f t="shared" si="1470"/>
        <v>42826</v>
      </c>
      <c r="Y789" s="594">
        <f t="shared" si="1470"/>
        <v>42917</v>
      </c>
      <c r="Z789" s="594">
        <f t="shared" si="1470"/>
        <v>43009</v>
      </c>
      <c r="AA789" s="594">
        <f t="shared" si="1470"/>
        <v>42736</v>
      </c>
      <c r="AB789" s="594">
        <f t="shared" si="1470"/>
        <v>43101</v>
      </c>
      <c r="AC789" s="594">
        <f t="shared" si="1470"/>
        <v>43191</v>
      </c>
      <c r="AD789" s="594">
        <f t="shared" si="1470"/>
        <v>43282</v>
      </c>
      <c r="AE789" s="594">
        <f t="shared" si="1470"/>
        <v>43374</v>
      </c>
      <c r="AF789" s="594">
        <f t="shared" si="1470"/>
        <v>43101</v>
      </c>
      <c r="AG789" s="594">
        <f t="shared" si="1470"/>
        <v>43466</v>
      </c>
      <c r="AH789" s="594">
        <f t="shared" si="1470"/>
        <v>43556</v>
      </c>
      <c r="AI789" s="594">
        <f t="shared" si="1470"/>
        <v>43647</v>
      </c>
      <c r="AJ789" s="594">
        <f t="shared" si="1470"/>
        <v>43739</v>
      </c>
      <c r="AK789" s="594">
        <f t="shared" si="1470"/>
        <v>43466</v>
      </c>
      <c r="AL789" s="594">
        <f t="shared" si="1470"/>
        <v>43831</v>
      </c>
      <c r="AM789" s="594">
        <f t="shared" si="1470"/>
        <v>43922</v>
      </c>
      <c r="AN789" s="594">
        <f>INDEX(MO_Common_QEndDate,0,COLUMN())-INDEX(MO_Common_FPDays,0,COLUMN())+1</f>
        <v>44013</v>
      </c>
      <c r="AO789" s="594">
        <f t="shared" si="1470"/>
        <v>44105</v>
      </c>
      <c r="AP789" s="594">
        <f t="shared" si="1470"/>
        <v>43831</v>
      </c>
      <c r="AQ789" s="594">
        <f t="shared" si="1470"/>
        <v>44197</v>
      </c>
      <c r="AR789" s="594">
        <f t="shared" si="1471" ref="AR789:AW789">INDEX(MO_Common_QEndDate,0,COLUMN())-INDEX(MO_Common_FPDays,0,COLUMN())+1</f>
        <v>44287</v>
      </c>
      <c r="AS789" s="594">
        <f t="shared" si="1471"/>
        <v>44378</v>
      </c>
      <c r="AT789" s="594">
        <f t="shared" si="1471"/>
        <v>44470</v>
      </c>
      <c r="AU789" s="594">
        <f t="shared" si="1471"/>
        <v>44197</v>
      </c>
      <c r="AV789" s="594">
        <f t="shared" si="1471"/>
        <v>44562</v>
      </c>
      <c r="AW789" s="594">
        <f t="shared" si="1471"/>
        <v>44652</v>
      </c>
      <c r="AX789" s="594">
        <f t="shared" si="1472" ref="AX789:BJ789">INDEX(MO_Common_QEndDate,0,COLUMN())-INDEX(MO_Common_FPDays,0,COLUMN())+1</f>
        <v>44743</v>
      </c>
      <c r="AY789" s="594">
        <f t="shared" si="1472"/>
        <v>44835</v>
      </c>
      <c r="AZ789" s="594">
        <f t="shared" si="1472"/>
        <v>44562</v>
      </c>
      <c r="BA789" s="594">
        <f t="shared" si="1473" ref="BA789:BI789">INDEX(MO_Common_QEndDate,0,COLUMN())-INDEX(MO_Common_FPDays,0,COLUMN())+1</f>
        <v>44927</v>
      </c>
      <c r="BB789" s="594">
        <f t="shared" si="1473"/>
        <v>45017</v>
      </c>
      <c r="BC789" s="594">
        <f t="shared" si="1473"/>
        <v>45108</v>
      </c>
      <c r="BD789" s="594">
        <f t="shared" si="1473"/>
        <v>45200</v>
      </c>
      <c r="BE789" s="594">
        <f t="shared" si="1473"/>
        <v>44927</v>
      </c>
      <c r="BF789" s="594">
        <f>INDEX(MO_Common_QEndDate,0,COLUMN())-INDEX(MO_Common_FPDays,0,COLUMN())+1</f>
        <v>45292</v>
      </c>
      <c r="BG789" s="594">
        <f>INDEX(MO_Common_QEndDate,0,COLUMN())-INDEX(MO_Common_FPDays,0,COLUMN())+1</f>
        <v>45383</v>
      </c>
      <c r="BH789" s="595">
        <f>INDEX(MO_Common_QEndDate,0,COLUMN())-INDEX(MO_Common_FPDays,0,COLUMN())+1</f>
        <v>45474</v>
      </c>
      <c r="BI789" s="594">
        <f t="shared" si="1473"/>
        <v>45566</v>
      </c>
      <c r="BJ789" s="594">
        <f t="shared" si="1472"/>
        <v>45292</v>
      </c>
      <c r="BK789" s="594">
        <f t="shared" si="1474" ref="BK789:BR789">INDEX(MO_Common_QEndDate,0,COLUMN())-INDEX(MO_Common_FPDays,0,COLUMN())+1</f>
        <v>45658</v>
      </c>
      <c r="BL789" s="594">
        <f t="shared" si="1474"/>
        <v>45748</v>
      </c>
      <c r="BM789" s="594">
        <f t="shared" si="1474"/>
        <v>45839</v>
      </c>
      <c r="BN789" s="594">
        <f t="shared" si="1474"/>
        <v>45931</v>
      </c>
      <c r="BO789" s="594">
        <f t="shared" si="1474"/>
        <v>45658</v>
      </c>
      <c r="BP789" s="594">
        <f t="shared" si="1474"/>
        <v>46023</v>
      </c>
      <c r="BQ789" s="594">
        <f t="shared" si="1474"/>
        <v>46388</v>
      </c>
      <c r="BR789" s="596">
        <f t="shared" si="1474"/>
        <v>46753</v>
      </c>
      <c r="BS789" s="345"/>
    </row>
    <row r="790" spans="1:71" s="24" customFormat="1" ht="15">
      <c r="A790" s="282" t="s">
        <v>303</v>
      </c>
      <c r="B790" s="828"/>
      <c r="C790" s="593" t="b">
        <f>TRUE</f>
        <v>1</v>
      </c>
      <c r="D790" s="593" t="b">
        <f>TRUE</f>
        <v>1</v>
      </c>
      <c r="E790" s="594" t="b">
        <f>TRUE</f>
        <v>1</v>
      </c>
      <c r="F790" s="594" t="b">
        <f>TRUE</f>
        <v>1</v>
      </c>
      <c r="G790" s="594" t="b">
        <f>TRUE</f>
        <v>1</v>
      </c>
      <c r="H790" s="594" t="b">
        <f>TRUE</f>
        <v>1</v>
      </c>
      <c r="I790" s="594" t="b">
        <f>TRUE</f>
        <v>1</v>
      </c>
      <c r="J790" s="594" t="b">
        <f>TRUE</f>
        <v>1</v>
      </c>
      <c r="K790" s="594" t="b">
        <f>TRUE</f>
        <v>1</v>
      </c>
      <c r="L790" s="594" t="b">
        <f>TRUE</f>
        <v>1</v>
      </c>
      <c r="M790" s="594" t="b">
        <f>TRUE</f>
        <v>1</v>
      </c>
      <c r="N790" s="594" t="b">
        <f>TRUE</f>
        <v>1</v>
      </c>
      <c r="O790" s="594" t="b">
        <f>TRUE</f>
        <v>1</v>
      </c>
      <c r="P790" s="594" t="b">
        <f>TRUE</f>
        <v>1</v>
      </c>
      <c r="Q790" s="594" t="b">
        <f>TRUE</f>
        <v>1</v>
      </c>
      <c r="R790" s="594" t="b">
        <f>TRUE</f>
        <v>1</v>
      </c>
      <c r="S790" s="594" t="b">
        <f>TRUE</f>
        <v>1</v>
      </c>
      <c r="T790" s="594" t="b">
        <f>TRUE</f>
        <v>1</v>
      </c>
      <c r="U790" s="594" t="b">
        <f>TRUE</f>
        <v>1</v>
      </c>
      <c r="V790" s="594" t="b">
        <f>TRUE</f>
        <v>1</v>
      </c>
      <c r="W790" s="594" t="b">
        <f>TRUE</f>
        <v>1</v>
      </c>
      <c r="X790" s="594" t="b">
        <f>TRUE</f>
        <v>1</v>
      </c>
      <c r="Y790" s="594" t="b">
        <f>TRUE</f>
        <v>1</v>
      </c>
      <c r="Z790" s="594" t="b">
        <f>TRUE</f>
        <v>1</v>
      </c>
      <c r="AA790" s="594" t="b">
        <f>TRUE</f>
        <v>1</v>
      </c>
      <c r="AB790" s="594" t="b">
        <f>TRUE</f>
        <v>1</v>
      </c>
      <c r="AC790" s="594" t="b">
        <f>TRUE</f>
        <v>1</v>
      </c>
      <c r="AD790" s="594" t="b">
        <f>TRUE</f>
        <v>1</v>
      </c>
      <c r="AE790" s="594" t="b">
        <f>TRUE</f>
        <v>1</v>
      </c>
      <c r="AF790" s="594" t="b">
        <f>TRUE</f>
        <v>1</v>
      </c>
      <c r="AG790" s="594" t="b">
        <f>TRUE</f>
        <v>1</v>
      </c>
      <c r="AH790" s="594" t="b">
        <f>TRUE</f>
        <v>1</v>
      </c>
      <c r="AI790" s="594" t="b">
        <f>TRUE</f>
        <v>1</v>
      </c>
      <c r="AJ790" s="594" t="b">
        <f>TRUE</f>
        <v>1</v>
      </c>
      <c r="AK790" s="594" t="b">
        <f>TRUE</f>
        <v>1</v>
      </c>
      <c r="AL790" s="594" t="b">
        <f>TRUE</f>
        <v>1</v>
      </c>
      <c r="AM790" s="594" t="b">
        <f>TRUE</f>
        <v>1</v>
      </c>
      <c r="AN790" s="594" t="b">
        <f>TRUE</f>
        <v>1</v>
      </c>
      <c r="AO790" s="594" t="b">
        <f>TRUE</f>
        <v>1</v>
      </c>
      <c r="AP790" s="594" t="b">
        <f>TRUE</f>
        <v>1</v>
      </c>
      <c r="AQ790" s="594" t="b">
        <f>TRUE</f>
        <v>1</v>
      </c>
      <c r="AR790" s="594" t="b">
        <f>TRUE</f>
        <v>1</v>
      </c>
      <c r="AS790" s="594" t="b">
        <f>TRUE</f>
        <v>1</v>
      </c>
      <c r="AT790" s="594" t="b">
        <f>TRUE</f>
        <v>1</v>
      </c>
      <c r="AU790" s="594" t="b">
        <f>TRUE</f>
        <v>1</v>
      </c>
      <c r="AV790" s="594" t="b">
        <f>TRUE</f>
        <v>1</v>
      </c>
      <c r="AW790" s="594" t="b">
        <f>TRUE</f>
        <v>1</v>
      </c>
      <c r="AX790" s="594" t="b">
        <f>TRUE</f>
        <v>1</v>
      </c>
      <c r="AY790" s="594" t="b">
        <f>TRUE</f>
        <v>1</v>
      </c>
      <c r="AZ790" s="594" t="b">
        <f>TRUE</f>
        <v>1</v>
      </c>
      <c r="BA790" s="594" t="b">
        <f>TRUE</f>
        <v>1</v>
      </c>
      <c r="BB790" s="594" t="b">
        <f>TRUE</f>
        <v>1</v>
      </c>
      <c r="BC790" s="594" t="b">
        <f>TRUE</f>
        <v>1</v>
      </c>
      <c r="BD790" s="594" t="b">
        <f>TRUE</f>
        <v>1</v>
      </c>
      <c r="BE790" s="594" t="b">
        <f>TRUE</f>
        <v>1</v>
      </c>
      <c r="BF790" s="594" t="b">
        <f>TRUE</f>
        <v>1</v>
      </c>
      <c r="BG790" s="594" t="b">
        <f>TRUE</f>
        <v>1</v>
      </c>
      <c r="BH790" s="595" t="b">
        <f>TRUE</f>
        <v>1</v>
      </c>
      <c r="BI790" s="594" t="b">
        <f>FALSE</f>
        <v>0</v>
      </c>
      <c r="BJ790" s="594" t="b">
        <f>FALSE</f>
        <v>0</v>
      </c>
      <c r="BK790" s="594" t="b">
        <f>FALSE</f>
        <v>0</v>
      </c>
      <c r="BL790" s="594" t="b">
        <f>FALSE</f>
        <v>0</v>
      </c>
      <c r="BM790" s="594" t="b">
        <f>FALSE</f>
        <v>0</v>
      </c>
      <c r="BN790" s="594" t="b">
        <f>FALSE</f>
        <v>0</v>
      </c>
      <c r="BO790" s="594" t="b">
        <f>FALSE</f>
        <v>0</v>
      </c>
      <c r="BP790" s="594" t="b">
        <f>FALSE</f>
        <v>0</v>
      </c>
      <c r="BQ790" s="594" t="b">
        <f>FALSE</f>
        <v>0</v>
      </c>
      <c r="BR790" s="596" t="b">
        <f>FALSE</f>
        <v>0</v>
      </c>
      <c r="BS790" s="345"/>
    </row>
    <row r="791" spans="1:71" s="288" customFormat="1" ht="15">
      <c r="A791" s="283" t="str">
        <f ca="1">"Stock High: "&amp;IF(OR(MO.RealTimeStockPriceToggle=FALSE,VLOOKUP(MO.DataSourceName,MO_SPT_StockHigh_Sources,COLUMN()+2,FALSE)="N/A"),"Real-Time Off Source",MO.DataSourceName)</f>
        <v>Stock High: Real-Time Off Source</v>
      </c>
      <c r="B791" s="284"/>
      <c r="C791" s="285">
        <f ca="1" t="shared" si="1475" ref="C791:AQ791">IF(OR(MO.RealTimeStockPriceToggle=FALSE,VLOOKUP(MO.DataSourceName,MO_SPT_StockHigh_Sources,COLUMN(),FALSE)="N/A"),VLOOKUP("Real-Time Off Source",MO_SPT_StockHigh_Sources,COLUMN(),FALSE),VLOOKUP(MO.DataSourceName,MO_SPT_StockHigh_Sources,COLUMN(),FALSE))</f>
        <v>54.31</v>
      </c>
      <c r="D791" s="285">
        <f t="shared" ca="1" si="1475"/>
        <v>57.44</v>
      </c>
      <c r="E791" s="284">
        <f t="shared" ca="1" si="1475"/>
        <v>64.05</v>
      </c>
      <c r="F791" s="284">
        <f t="shared" ca="1" si="1475"/>
        <v>74.33</v>
      </c>
      <c r="G791" s="284">
        <f t="shared" ca="1" si="1475"/>
        <v>90.99</v>
      </c>
      <c r="H791" s="284">
        <f t="shared" ca="1" si="1475"/>
        <v>89.33</v>
      </c>
      <c r="I791" s="284">
        <f t="shared" ca="1" si="1475"/>
        <v>95.60</v>
      </c>
      <c r="J791" s="284">
        <f t="shared" ca="1" si="1475"/>
        <v>95.95</v>
      </c>
      <c r="K791" s="284">
        <f t="shared" ca="1" si="1475"/>
        <v>106.95</v>
      </c>
      <c r="L791" s="284">
        <f t="shared" ca="1" si="1475"/>
        <v>106.95</v>
      </c>
      <c r="M791" s="284">
        <f t="shared" ca="1" si="1475"/>
        <v>109.73</v>
      </c>
      <c r="N791" s="284">
        <f t="shared" ca="1" si="1475"/>
        <v>108.67</v>
      </c>
      <c r="O791" s="284">
        <f t="shared" ca="1" si="1475"/>
        <v>107.81999999999999</v>
      </c>
      <c r="P791" s="284">
        <f t="shared" ca="1" si="1475"/>
        <v>115.83</v>
      </c>
      <c r="Q791" s="284">
        <f t="shared" ca="1" si="1475"/>
        <v>115.83</v>
      </c>
      <c r="R791" s="284">
        <f t="shared" ca="1" si="1475"/>
        <v>117.43000000000001</v>
      </c>
      <c r="S791" s="284">
        <f t="shared" ca="1" si="1475"/>
        <v>119.04000000000001</v>
      </c>
      <c r="T791" s="284">
        <f t="shared" ca="1" si="1475"/>
        <v>119.29000000000001</v>
      </c>
      <c r="U791" s="284">
        <f t="shared" ca="1" si="1475"/>
        <v>122.56999999999999</v>
      </c>
      <c r="V791" s="284">
        <f t="shared" ca="1" si="1475"/>
        <v>122.56999999999999</v>
      </c>
      <c r="W791" s="284">
        <f t="shared" ca="1" si="1475"/>
        <v>124.98999999999999</v>
      </c>
      <c r="X791" s="284">
        <f t="shared" ca="1" si="1475"/>
        <v>129.44</v>
      </c>
      <c r="Y791" s="284">
        <f t="shared" ca="1" si="1475"/>
        <v>130.15000000000001</v>
      </c>
      <c r="Z791" s="284">
        <f t="shared" ca="1" si="1475"/>
        <v>136.36000000000001</v>
      </c>
      <c r="AA791" s="284">
        <f t="shared" ca="1" si="1475"/>
        <v>136.36000000000001</v>
      </c>
      <c r="AB791" s="284">
        <f t="shared" ca="1" si="1475"/>
        <v>146.56309999999999</v>
      </c>
      <c r="AC791" s="284">
        <f t="shared" ca="1" si="1475"/>
        <v>136.80770000000001</v>
      </c>
      <c r="AD791" s="284">
        <f t="shared" ca="1" si="1475"/>
        <v>133.61449999999999</v>
      </c>
      <c r="AE791" s="284">
        <f t="shared" ca="1" si="1475"/>
        <v>130.85159999999999</v>
      </c>
      <c r="AF791" s="284">
        <f t="shared" ca="1" si="1475"/>
        <v>146.56309999999999</v>
      </c>
      <c r="AG791" s="284">
        <f t="shared" ca="1" si="1475"/>
        <v>137.16</v>
      </c>
      <c r="AH791" s="284">
        <f t="shared" ca="1" si="1475"/>
        <v>153.13</v>
      </c>
      <c r="AI791" s="284">
        <f t="shared" ca="1" si="1475"/>
        <v>154.83000000000001</v>
      </c>
      <c r="AJ791" s="284">
        <f t="shared" ca="1" si="1475"/>
        <v>145.55000000000001</v>
      </c>
      <c r="AK791" s="284">
        <f t="shared" ca="1" si="1475"/>
        <v>154.83000000000001</v>
      </c>
      <c r="AL791" s="284">
        <f t="shared" ca="1" si="1475"/>
        <v>141.34</v>
      </c>
      <c r="AM791" s="284">
        <f t="shared" ca="1" si="1475"/>
        <v>128</v>
      </c>
      <c r="AN791" s="284">
        <f ca="1">IF(OR(MO.RealTimeStockPriceToggle=FALSE,VLOOKUP(MO.DataSourceName,MO_SPT_StockHigh_Sources,COLUMN(),FALSE)="N/A"),VLOOKUP("Real-Time Off Source",MO_SPT_StockHigh_Sources,COLUMN(),FALSE),VLOOKUP(MO.DataSourceName,MO_SPT_StockHigh_Sources,COLUMN(),FALSE))</f>
        <v>122.23999999999999</v>
      </c>
      <c r="AO791" s="284">
        <f t="shared" ca="1" si="1475"/>
        <v>140.37</v>
      </c>
      <c r="AP791" s="284">
        <f t="shared" ca="1" si="1475"/>
        <v>141.34</v>
      </c>
      <c r="AQ791" s="284">
        <f t="shared" ca="1" si="1475"/>
        <v>157.91999999999999</v>
      </c>
      <c r="AR791" s="284">
        <f ca="1" t="shared" si="1476" ref="AR791:AW791">IF(OR(MO.RealTimeStockPriceToggle=FALSE,VLOOKUP(MO.DataSourceName,MO_SPT_StockHigh_Sources,COLUMN(),FALSE)="N/A"),VLOOKUP("Real-Time Off Source",MO_SPT_StockHigh_Sources,COLUMN(),FALSE),VLOOKUP(MO.DataSourceName,MO_SPT_StockHigh_Sources,COLUMN(),FALSE))</f>
        <v>161.66999999999999</v>
      </c>
      <c r="AS791" s="284">
        <f t="shared" ca="1" si="1476"/>
        <v>162.58000000000001</v>
      </c>
      <c r="AT791" s="284">
        <f t="shared" ca="1" si="1476"/>
        <v>162.37</v>
      </c>
      <c r="AU791" s="284">
        <f t="shared" ca="1" si="1476"/>
        <v>162.58000000000001</v>
      </c>
      <c r="AV791" s="284">
        <f t="shared" ca="1" si="1476"/>
        <v>187.75</v>
      </c>
      <c r="AW791" s="284">
        <f t="shared" ca="1" si="1476"/>
        <v>185.64</v>
      </c>
      <c r="AX791" s="284">
        <f ca="1" t="shared" si="1477" ref="AX791:BJ791">IF(OR(MO.RealTimeStockPriceToggle=FALSE,VLOOKUP(MO.DataSourceName,MO_SPT_StockHigh_Sources,COLUMN(),FALSE)="N/A"),VLOOKUP("Real-Time Off Source",MO_SPT_StockHigh_Sources,COLUMN(),FALSE),VLOOKUP(MO.DataSourceName,MO_SPT_StockHigh_Sources,COLUMN(),FALSE))</f>
        <v>174.11</v>
      </c>
      <c r="AY791" s="284">
        <f t="shared" ca="1" si="1477"/>
        <v>190.48</v>
      </c>
      <c r="AZ791" s="284">
        <f t="shared" ca="1" si="1477"/>
        <v>190.48</v>
      </c>
      <c r="BA791" s="284">
        <f ca="1" t="shared" si="1478" ref="BA791:BI791">IF(OR(MO.RealTimeStockPriceToggle=FALSE,VLOOKUP(MO.DataSourceName,MO_SPT_StockHigh_Sources,COLUMN(),FALSE)="N/A"),VLOOKUP("Real-Time Off Source",MO_SPT_StockHigh_Sources,COLUMN(),FALSE),VLOOKUP(MO.DataSourceName,MO_SPT_StockHigh_Sources,COLUMN(),FALSE))</f>
        <v>193.92</v>
      </c>
      <c r="BB791" s="284">
        <f t="shared" ca="1" si="1478"/>
        <v>183.75</v>
      </c>
      <c r="BC791" s="284">
        <f t="shared" ca="1" si="1478"/>
        <v>174.87</v>
      </c>
      <c r="BD791" s="284">
        <f t="shared" ca="1" si="1478"/>
        <v>190.49</v>
      </c>
      <c r="BE791" s="284">
        <f t="shared" ca="1" si="1478"/>
        <v>193.92</v>
      </c>
      <c r="BF791" s="284">
        <f ca="1">IF(OR(MO.RealTimeStockPriceToggle=FALSE,VLOOKUP(MO.DataSourceName,MO_SPT_StockHigh_Sources,COLUMN(),FALSE)="N/A"),VLOOKUP("Real-Time Off Source",MO_SPT_StockHigh_Sources,COLUMN(),FALSE),VLOOKUP(MO.DataSourceName,MO_SPT_StockHigh_Sources,COLUMN(),FALSE))</f>
        <v>230.14</v>
      </c>
      <c r="BG791" s="284">
        <f ca="1">IF(OR(MO.RealTimeStockPriceToggle=FALSE,VLOOKUP(MO.DataSourceName,MO_SPT_StockHigh_Sources,COLUMN(),FALSE)="N/A"),VLOOKUP("Real-Time Off Source",MO_SPT_StockHigh_Sources,COLUMN(),FALSE),VLOOKUP(MO.DataSourceName,MO_SPT_StockHigh_Sources,COLUMN(),FALSE))</f>
        <v>230.89</v>
      </c>
      <c r="BH791" s="561">
        <f ca="1">IF(OR(MO.RealTimeStockPriceToggle=FALSE,VLOOKUP(MO.DataSourceName,MO_SPT_StockHigh_Sources,COLUMN(),FALSE)="N/A"),VLOOKUP("Real-Time Off Source",MO_SPT_StockHigh_Sources,COLUMN(),FALSE),VLOOKUP(MO.DataSourceName,MO_SPT_StockHigh_Sources,COLUMN(),FALSE))</f>
        <v>242.26</v>
      </c>
      <c r="BI791" s="284">
        <f t="shared" ca="1" si="1478"/>
        <v>0</v>
      </c>
      <c r="BJ791" s="284">
        <f t="shared" ca="1" si="1477"/>
        <v>0</v>
      </c>
      <c r="BK791" s="284">
        <f ca="1" t="shared" si="1479" ref="BK791:BR791">IF(OR(MO.RealTimeStockPriceToggle=FALSE,VLOOKUP(MO.DataSourceName,MO_SPT_StockHigh_Sources,COLUMN(),FALSE)="N/A"),VLOOKUP("Real-Time Off Source",MO_SPT_StockHigh_Sources,COLUMN(),FALSE),VLOOKUP(MO.DataSourceName,MO_SPT_StockHigh_Sources,COLUMN(),FALSE))</f>
        <v>0</v>
      </c>
      <c r="BL791" s="284">
        <f t="shared" ca="1" si="1479"/>
        <v>0</v>
      </c>
      <c r="BM791" s="284">
        <f t="shared" ca="1" si="1479"/>
        <v>0</v>
      </c>
      <c r="BN791" s="284">
        <f t="shared" ca="1" si="1479"/>
        <v>0</v>
      </c>
      <c r="BO791" s="284">
        <f t="shared" ca="1" si="1479"/>
        <v>0</v>
      </c>
      <c r="BP791" s="284">
        <f t="shared" ca="1" si="1479"/>
        <v>0</v>
      </c>
      <c r="BQ791" s="284">
        <f t="shared" ca="1" si="1479"/>
        <v>0</v>
      </c>
      <c r="BR791" s="286">
        <f t="shared" ca="1" si="1479"/>
        <v>0</v>
      </c>
      <c r="BS791" s="348"/>
    </row>
    <row r="792" spans="1:71" s="288" customFormat="1" ht="15" hidden="1" outlineLevel="1">
      <c r="A792" s="289" t="s">
        <v>304</v>
      </c>
      <c r="B792" s="284"/>
      <c r="C792" s="965">
        <v>54.31</v>
      </c>
      <c r="D792" s="965">
        <v>57.44</v>
      </c>
      <c r="E792" s="966">
        <v>64.05</v>
      </c>
      <c r="F792" s="966">
        <v>74.33</v>
      </c>
      <c r="G792" s="966">
        <v>90.99</v>
      </c>
      <c r="H792" s="966">
        <v>89.33</v>
      </c>
      <c r="I792" s="966">
        <v>95.60</v>
      </c>
      <c r="J792" s="966">
        <v>95.95</v>
      </c>
      <c r="K792" s="966">
        <v>106.95</v>
      </c>
      <c r="L792" s="966">
        <v>106.95</v>
      </c>
      <c r="M792" s="966">
        <v>109.73</v>
      </c>
      <c r="N792" s="966">
        <v>108.67</v>
      </c>
      <c r="O792" s="966">
        <v>107.81999999999999</v>
      </c>
      <c r="P792" s="966">
        <v>115.83</v>
      </c>
      <c r="Q792" s="966">
        <v>115.83</v>
      </c>
      <c r="R792" s="966">
        <v>117.43000000000001</v>
      </c>
      <c r="S792" s="966">
        <v>119.04000000000001</v>
      </c>
      <c r="T792" s="966">
        <v>119.29000000000001</v>
      </c>
      <c r="U792" s="966">
        <v>122.56999999999999</v>
      </c>
      <c r="V792" s="966">
        <v>122.56999999999999</v>
      </c>
      <c r="W792" s="966">
        <v>124.98999999999999</v>
      </c>
      <c r="X792" s="966">
        <v>129.44</v>
      </c>
      <c r="Y792" s="966">
        <v>130.15000000000001</v>
      </c>
      <c r="Z792" s="966">
        <v>136.36000000000001</v>
      </c>
      <c r="AA792" s="966">
        <v>136.36000000000001</v>
      </c>
      <c r="AB792" s="966">
        <v>146.56309999999999</v>
      </c>
      <c r="AC792" s="966">
        <v>136.80770000000001</v>
      </c>
      <c r="AD792" s="966">
        <v>133.61449999999999</v>
      </c>
      <c r="AE792" s="966">
        <v>130.85159999999999</v>
      </c>
      <c r="AF792" s="966">
        <v>146.56309999999999</v>
      </c>
      <c r="AG792" s="966">
        <v>137.16</v>
      </c>
      <c r="AH792" s="966">
        <v>153.13</v>
      </c>
      <c r="AI792" s="966">
        <v>154.83000000000001</v>
      </c>
      <c r="AJ792" s="966">
        <v>145.55000000000001</v>
      </c>
      <c r="AK792" s="966">
        <v>154.83000000000001</v>
      </c>
      <c r="AL792" s="966">
        <v>141.34</v>
      </c>
      <c r="AM792" s="966">
        <v>128</v>
      </c>
      <c r="AN792" s="966">
        <v>122.23999999999999</v>
      </c>
      <c r="AO792" s="966">
        <v>140.37</v>
      </c>
      <c r="AP792" s="966">
        <v>141.34</v>
      </c>
      <c r="AQ792" s="966">
        <v>157.91999999999999</v>
      </c>
      <c r="AR792" s="966">
        <v>161.66999999999999</v>
      </c>
      <c r="AS792" s="966">
        <v>162.58000000000001</v>
      </c>
      <c r="AT792" s="966">
        <v>162.37</v>
      </c>
      <c r="AU792" s="966">
        <v>162.58000000000001</v>
      </c>
      <c r="AV792" s="966">
        <v>187.75</v>
      </c>
      <c r="AW792" s="966">
        <v>185.64</v>
      </c>
      <c r="AX792" s="966">
        <v>174.11</v>
      </c>
      <c r="AY792" s="966">
        <v>190.48</v>
      </c>
      <c r="AZ792" s="966">
        <v>190.48</v>
      </c>
      <c r="BA792" s="966">
        <v>193.92</v>
      </c>
      <c r="BB792" s="966">
        <v>183.75</v>
      </c>
      <c r="BC792" s="966">
        <v>174.87</v>
      </c>
      <c r="BD792" s="966">
        <v>190.49</v>
      </c>
      <c r="BE792" s="966">
        <v>193.92</v>
      </c>
      <c r="BF792" s="966">
        <v>230.14</v>
      </c>
      <c r="BG792" s="966">
        <v>230.89</v>
      </c>
      <c r="BH792" s="967">
        <v>242.26</v>
      </c>
      <c r="BI792" s="284"/>
      <c r="BJ792" s="284"/>
      <c r="BK792" s="284"/>
      <c r="BL792" s="284"/>
      <c r="BM792" s="284"/>
      <c r="BN792" s="284"/>
      <c r="BO792" s="284"/>
      <c r="BP792" s="284"/>
      <c r="BQ792" s="284"/>
      <c r="BR792" s="286"/>
      <c r="BS792" s="348"/>
    </row>
    <row r="793" spans="1:71" s="288" customFormat="1" ht="15" hidden="1" outlineLevel="1">
      <c r="A793" s="289" t="s">
        <v>7</v>
      </c>
      <c r="B793" s="284"/>
      <c r="C793" s="285" t="str">
        <f ca="1">IFERROR(BDP(MO.Ticker.Bloomberg&amp;" Equity","INTERVAL_HIGH","MARKET_DATA_OVERRIDE=PX_LAST","START_DATE_OVERRIDE",TEXT(INDEX(MO_SNA_FPStartDate,0,COLUMN()),"YYYYMMDD"),"END_DATE_OVERRIDE",TEXT(INDEX(MO_Common_QEndDate,0,COLUMN()),"YYYYMMDD")),"N/A")</f>
        <v>N/A</v>
      </c>
      <c r="D793" s="285" t="str">
        <f ca="1">IFERROR(BDP(MO.Ticker.Bloomberg&amp;" Equity","INTERVAL_HIGH","MARKET_DATA_OVERRIDE=PX_LAST","START_DATE_OVERRIDE",TEXT(INDEX(MO_SNA_FPStartDate,0,COLUMN()),"YYYYMMDD"),"END_DATE_OVERRIDE",TEXT(INDEX(MO_Common_QEndDate,0,COLUMN()),"YYYYMMDD")),"N/A")</f>
        <v>N/A</v>
      </c>
      <c r="E793" s="284" t="str">
        <f ca="1">IFERROR(BDP(MO.Ticker.Bloomberg&amp;" Equity","INTERVAL_HIGH","MARKET_DATA_OVERRIDE=PX_LAST","START_DATE_OVERRIDE",TEXT(INDEX(MO_SNA_FPStartDate,0,COLUMN()),"YYYYMMDD"),"END_DATE_OVERRIDE",TEXT(INDEX(MO_Common_QEndDate,0,COLUMN()),"YYYYMMDD")),"N/A")</f>
        <v>N/A</v>
      </c>
      <c r="F793" s="284" t="str">
        <f ca="1">IFERROR(BDP(MO.Ticker.Bloomberg&amp;" Equity","INTERVAL_HIGH","MARKET_DATA_OVERRIDE=PX_LAST","START_DATE_OVERRIDE",TEXT(INDEX(MO_SNA_FPStartDate,0,COLUMN()),"YYYYMMDD"),"END_DATE_OVERRIDE",TEXT(INDEX(MO_Common_QEndDate,0,COLUMN()),"YYYYMMDD")),"N/A")</f>
        <v>N/A</v>
      </c>
      <c r="G793" s="284" t="str">
        <f ca="1">IFERROR(BDP(MO.Ticker.Bloomberg&amp;" Equity","INTERVAL_HIGH","MARKET_DATA_OVERRIDE=PX_LAST","START_DATE_OVERRIDE",TEXT(INDEX(MO_SNA_FPStartDate,0,COLUMN()),"YYYYMMDD"),"END_DATE_OVERRIDE",TEXT(INDEX(MO_Common_QEndDate,0,COLUMN()),"YYYYMMDD")),"N/A")</f>
        <v>N/A</v>
      </c>
      <c r="H793" s="284" t="str">
        <f ca="1">IFERROR(BDP(MO.Ticker.Bloomberg&amp;" Equity","INTERVAL_HIGH","MARKET_DATA_OVERRIDE=PX_LAST","START_DATE_OVERRIDE",TEXT(INDEX(MO_SNA_FPStartDate,0,COLUMN()),"YYYYMMDD"),"END_DATE_OVERRIDE",TEXT(INDEX(MO_Common_QEndDate,0,COLUMN()),"YYYYMMDD")),"N/A")</f>
        <v>N/A</v>
      </c>
      <c r="I793" s="284" t="str">
        <f ca="1">IFERROR(BDP(MO.Ticker.Bloomberg&amp;" Equity","INTERVAL_HIGH","MARKET_DATA_OVERRIDE=PX_LAST","START_DATE_OVERRIDE",TEXT(INDEX(MO_SNA_FPStartDate,0,COLUMN()),"YYYYMMDD"),"END_DATE_OVERRIDE",TEXT(INDEX(MO_Common_QEndDate,0,COLUMN()),"YYYYMMDD")),"N/A")</f>
        <v>N/A</v>
      </c>
      <c r="J793" s="284" t="str">
        <f ca="1">IFERROR(BDP(MO.Ticker.Bloomberg&amp;" Equity","INTERVAL_HIGH","MARKET_DATA_OVERRIDE=PX_LAST","START_DATE_OVERRIDE",TEXT(INDEX(MO_SNA_FPStartDate,0,COLUMN()),"YYYYMMDD"),"END_DATE_OVERRIDE",TEXT(INDEX(MO_Common_QEndDate,0,COLUMN()),"YYYYMMDD")),"N/A")</f>
        <v>N/A</v>
      </c>
      <c r="K793" s="284" t="str">
        <f ca="1">IFERROR(BDP(MO.Ticker.Bloomberg&amp;" Equity","INTERVAL_HIGH","MARKET_DATA_OVERRIDE=PX_LAST","START_DATE_OVERRIDE",TEXT(INDEX(MO_SNA_FPStartDate,0,COLUMN()),"YYYYMMDD"),"END_DATE_OVERRIDE",TEXT(INDEX(MO_Common_QEndDate,0,COLUMN()),"YYYYMMDD")),"N/A")</f>
        <v>N/A</v>
      </c>
      <c r="L793" s="284" t="str">
        <f ca="1">IFERROR(BDP(MO.Ticker.Bloomberg&amp;" Equity","INTERVAL_HIGH","MARKET_DATA_OVERRIDE=PX_LAST","START_DATE_OVERRIDE",TEXT(INDEX(MO_SNA_FPStartDate,0,COLUMN()),"YYYYMMDD"),"END_DATE_OVERRIDE",TEXT(INDEX(MO_Common_QEndDate,0,COLUMN()),"YYYYMMDD")),"N/A")</f>
        <v>N/A</v>
      </c>
      <c r="M793" s="284" t="str">
        <f ca="1">IFERROR(BDP(MO.Ticker.Bloomberg&amp;" Equity","INTERVAL_HIGH","MARKET_DATA_OVERRIDE=PX_LAST","START_DATE_OVERRIDE",TEXT(INDEX(MO_SNA_FPStartDate,0,COLUMN()),"YYYYMMDD"),"END_DATE_OVERRIDE",TEXT(INDEX(MO_Common_QEndDate,0,COLUMN()),"YYYYMMDD")),"N/A")</f>
        <v>N/A</v>
      </c>
      <c r="N793" s="284" t="str">
        <f ca="1">IFERROR(BDP(MO.Ticker.Bloomberg&amp;" Equity","INTERVAL_HIGH","MARKET_DATA_OVERRIDE=PX_LAST","START_DATE_OVERRIDE",TEXT(INDEX(MO_SNA_FPStartDate,0,COLUMN()),"YYYYMMDD"),"END_DATE_OVERRIDE",TEXT(INDEX(MO_Common_QEndDate,0,COLUMN()),"YYYYMMDD")),"N/A")</f>
        <v>N/A</v>
      </c>
      <c r="O793" s="284" t="str">
        <f ca="1">IFERROR(BDP(MO.Ticker.Bloomberg&amp;" Equity","INTERVAL_HIGH","MARKET_DATA_OVERRIDE=PX_LAST","START_DATE_OVERRIDE",TEXT(INDEX(MO_SNA_FPStartDate,0,COLUMN()),"YYYYMMDD"),"END_DATE_OVERRIDE",TEXT(INDEX(MO_Common_QEndDate,0,COLUMN()),"YYYYMMDD")),"N/A")</f>
        <v>N/A</v>
      </c>
      <c r="P793" s="284" t="str">
        <f ca="1">IFERROR(BDP(MO.Ticker.Bloomberg&amp;" Equity","INTERVAL_HIGH","MARKET_DATA_OVERRIDE=PX_LAST","START_DATE_OVERRIDE",TEXT(INDEX(MO_SNA_FPStartDate,0,COLUMN()),"YYYYMMDD"),"END_DATE_OVERRIDE",TEXT(INDEX(MO_Common_QEndDate,0,COLUMN()),"YYYYMMDD")),"N/A")</f>
        <v>N/A</v>
      </c>
      <c r="Q793" s="284" t="str">
        <f ca="1">IFERROR(BDP(MO.Ticker.Bloomberg&amp;" Equity","INTERVAL_HIGH","MARKET_DATA_OVERRIDE=PX_LAST","START_DATE_OVERRIDE",TEXT(INDEX(MO_SNA_FPStartDate,0,COLUMN()),"YYYYMMDD"),"END_DATE_OVERRIDE",TEXT(INDEX(MO_Common_QEndDate,0,COLUMN()),"YYYYMMDD")),"N/A")</f>
        <v>N/A</v>
      </c>
      <c r="R793" s="284" t="str">
        <f ca="1">IFERROR(BDP(MO.Ticker.Bloomberg&amp;" Equity","INTERVAL_HIGH","MARKET_DATA_OVERRIDE=PX_LAST","START_DATE_OVERRIDE",TEXT(INDEX(MO_SNA_FPStartDate,0,COLUMN()),"YYYYMMDD"),"END_DATE_OVERRIDE",TEXT(INDEX(MO_Common_QEndDate,0,COLUMN()),"YYYYMMDD")),"N/A")</f>
        <v>N/A</v>
      </c>
      <c r="S793" s="284" t="str">
        <f ca="1">IFERROR(BDP(MO.Ticker.Bloomberg&amp;" Equity","INTERVAL_HIGH","MARKET_DATA_OVERRIDE=PX_LAST","START_DATE_OVERRIDE",TEXT(INDEX(MO_SNA_FPStartDate,0,COLUMN()),"YYYYMMDD"),"END_DATE_OVERRIDE",TEXT(INDEX(MO_Common_QEndDate,0,COLUMN()),"YYYYMMDD")),"N/A")</f>
        <v>N/A</v>
      </c>
      <c r="T793" s="284" t="str">
        <f ca="1">IFERROR(BDP(MO.Ticker.Bloomberg&amp;" Equity","INTERVAL_HIGH","MARKET_DATA_OVERRIDE=PX_LAST","START_DATE_OVERRIDE",TEXT(INDEX(MO_SNA_FPStartDate,0,COLUMN()),"YYYYMMDD"),"END_DATE_OVERRIDE",TEXT(INDEX(MO_Common_QEndDate,0,COLUMN()),"YYYYMMDD")),"N/A")</f>
        <v>N/A</v>
      </c>
      <c r="U793" s="284" t="str">
        <f ca="1">IFERROR(BDP(MO.Ticker.Bloomberg&amp;" Equity","INTERVAL_HIGH","MARKET_DATA_OVERRIDE=PX_LAST","START_DATE_OVERRIDE",TEXT(INDEX(MO_SNA_FPStartDate,0,COLUMN()),"YYYYMMDD"),"END_DATE_OVERRIDE",TEXT(INDEX(MO_Common_QEndDate,0,COLUMN()),"YYYYMMDD")),"N/A")</f>
        <v>N/A</v>
      </c>
      <c r="V793" s="284" t="str">
        <f ca="1">IFERROR(BDP(MO.Ticker.Bloomberg&amp;" Equity","INTERVAL_HIGH","MARKET_DATA_OVERRIDE=PX_LAST","START_DATE_OVERRIDE",TEXT(INDEX(MO_SNA_FPStartDate,0,COLUMN()),"YYYYMMDD"),"END_DATE_OVERRIDE",TEXT(INDEX(MO_Common_QEndDate,0,COLUMN()),"YYYYMMDD")),"N/A")</f>
        <v>N/A</v>
      </c>
      <c r="W793" s="284" t="str">
        <f ca="1">IFERROR(BDP(MO.Ticker.Bloomberg&amp;" Equity","INTERVAL_HIGH","MARKET_DATA_OVERRIDE=PX_LAST","START_DATE_OVERRIDE",TEXT(INDEX(MO_SNA_FPStartDate,0,COLUMN()),"YYYYMMDD"),"END_DATE_OVERRIDE",TEXT(INDEX(MO_Common_QEndDate,0,COLUMN()),"YYYYMMDD")),"N/A")</f>
        <v>N/A</v>
      </c>
      <c r="X793" s="284" t="str">
        <f ca="1">IFERROR(BDP(MO.Ticker.Bloomberg&amp;" Equity","INTERVAL_HIGH","MARKET_DATA_OVERRIDE=PX_LAST","START_DATE_OVERRIDE",TEXT(INDEX(MO_SNA_FPStartDate,0,COLUMN()),"YYYYMMDD"),"END_DATE_OVERRIDE",TEXT(INDEX(MO_Common_QEndDate,0,COLUMN()),"YYYYMMDD")),"N/A")</f>
        <v>N/A</v>
      </c>
      <c r="Y793" s="284" t="str">
        <f ca="1">IFERROR(BDP(MO.Ticker.Bloomberg&amp;" Equity","INTERVAL_HIGH","MARKET_DATA_OVERRIDE=PX_LAST","START_DATE_OVERRIDE",TEXT(INDEX(MO_SNA_FPStartDate,0,COLUMN()),"YYYYMMDD"),"END_DATE_OVERRIDE",TEXT(INDEX(MO_Common_QEndDate,0,COLUMN()),"YYYYMMDD")),"N/A")</f>
        <v>N/A</v>
      </c>
      <c r="Z793" s="284" t="str">
        <f ca="1">IFERROR(BDP(MO.Ticker.Bloomberg&amp;" Equity","INTERVAL_HIGH","MARKET_DATA_OVERRIDE=PX_LAST","START_DATE_OVERRIDE",TEXT(INDEX(MO_SNA_FPStartDate,0,COLUMN()),"YYYYMMDD"),"END_DATE_OVERRIDE",TEXT(INDEX(MO_Common_QEndDate,0,COLUMN()),"YYYYMMDD")),"N/A")</f>
        <v>N/A</v>
      </c>
      <c r="AA793" s="284" t="str">
        <f ca="1">IFERROR(BDP(MO.Ticker.Bloomberg&amp;" Equity","INTERVAL_HIGH","MARKET_DATA_OVERRIDE=PX_LAST","START_DATE_OVERRIDE",TEXT(INDEX(MO_SNA_FPStartDate,0,COLUMN()),"YYYYMMDD"),"END_DATE_OVERRIDE",TEXT(INDEX(MO_Common_QEndDate,0,COLUMN()),"YYYYMMDD")),"N/A")</f>
        <v>N/A</v>
      </c>
      <c r="AB793" s="284" t="str">
        <f ca="1">IFERROR(BDP(MO.Ticker.Bloomberg&amp;" Equity","INTERVAL_HIGH","MARKET_DATA_OVERRIDE=PX_LAST","START_DATE_OVERRIDE",TEXT(INDEX(MO_SNA_FPStartDate,0,COLUMN()),"YYYYMMDD"),"END_DATE_OVERRIDE",TEXT(INDEX(MO_Common_QEndDate,0,COLUMN()),"YYYYMMDD")),"N/A")</f>
        <v>N/A</v>
      </c>
      <c r="AC793" s="284" t="str">
        <f ca="1">IFERROR(BDP(MO.Ticker.Bloomberg&amp;" Equity","INTERVAL_HIGH","MARKET_DATA_OVERRIDE=PX_LAST","START_DATE_OVERRIDE",TEXT(INDEX(MO_SNA_FPStartDate,0,COLUMN()),"YYYYMMDD"),"END_DATE_OVERRIDE",TEXT(INDEX(MO_Common_QEndDate,0,COLUMN()),"YYYYMMDD")),"N/A")</f>
        <v>N/A</v>
      </c>
      <c r="AD793" s="284" t="str">
        <f ca="1">IFERROR(BDP(MO.Ticker.Bloomberg&amp;" Equity","INTERVAL_HIGH","MARKET_DATA_OVERRIDE=PX_LAST","START_DATE_OVERRIDE",TEXT(INDEX(MO_SNA_FPStartDate,0,COLUMN()),"YYYYMMDD"),"END_DATE_OVERRIDE",TEXT(INDEX(MO_Common_QEndDate,0,COLUMN()),"YYYYMMDD")),"N/A")</f>
        <v>N/A</v>
      </c>
      <c r="AE793" s="284" t="str">
        <f ca="1">IFERROR(BDP(MO.Ticker.Bloomberg&amp;" Equity","INTERVAL_HIGH","MARKET_DATA_OVERRIDE=PX_LAST","START_DATE_OVERRIDE",TEXT(INDEX(MO_SNA_FPStartDate,0,COLUMN()),"YYYYMMDD"),"END_DATE_OVERRIDE",TEXT(INDEX(MO_Common_QEndDate,0,COLUMN()),"YYYYMMDD")),"N/A")</f>
        <v>N/A</v>
      </c>
      <c r="AF793" s="284" t="str">
        <f ca="1">IFERROR(BDP(MO.Ticker.Bloomberg&amp;" Equity","INTERVAL_HIGH","MARKET_DATA_OVERRIDE=PX_LAST","START_DATE_OVERRIDE",TEXT(INDEX(MO_SNA_FPStartDate,0,COLUMN()),"YYYYMMDD"),"END_DATE_OVERRIDE",TEXT(INDEX(MO_Common_QEndDate,0,COLUMN()),"YYYYMMDD")),"N/A")</f>
        <v>N/A</v>
      </c>
      <c r="AG793" s="284" t="str">
        <f ca="1">IFERROR(BDP(MO.Ticker.Bloomberg&amp;" Equity","INTERVAL_HIGH","MARKET_DATA_OVERRIDE=PX_LAST","START_DATE_OVERRIDE",TEXT(INDEX(MO_SNA_FPStartDate,0,COLUMN()),"YYYYMMDD"),"END_DATE_OVERRIDE",TEXT(INDEX(MO_Common_QEndDate,0,COLUMN()),"YYYYMMDD")),"N/A")</f>
        <v>N/A</v>
      </c>
      <c r="AH793" s="284" t="str">
        <f ca="1">IFERROR(BDP(MO.Ticker.Bloomberg&amp;" Equity","INTERVAL_HIGH","MARKET_DATA_OVERRIDE=PX_LAST","START_DATE_OVERRIDE",TEXT(INDEX(MO_SNA_FPStartDate,0,COLUMN()),"YYYYMMDD"),"END_DATE_OVERRIDE",TEXT(INDEX(MO_Common_QEndDate,0,COLUMN()),"YYYYMMDD")),"N/A")</f>
        <v>N/A</v>
      </c>
      <c r="AI793" s="284" t="str">
        <f ca="1">IFERROR(BDP(MO.Ticker.Bloomberg&amp;" Equity","INTERVAL_HIGH","MARKET_DATA_OVERRIDE=PX_LAST","START_DATE_OVERRIDE",TEXT(INDEX(MO_SNA_FPStartDate,0,COLUMN()),"YYYYMMDD"),"END_DATE_OVERRIDE",TEXT(INDEX(MO_Common_QEndDate,0,COLUMN()),"YYYYMMDD")),"N/A")</f>
        <v>N/A</v>
      </c>
      <c r="AJ793" s="284" t="str">
        <f ca="1">IFERROR(BDP(MO.Ticker.Bloomberg&amp;" Equity","INTERVAL_HIGH","MARKET_DATA_OVERRIDE=PX_LAST","START_DATE_OVERRIDE",TEXT(INDEX(MO_SNA_FPStartDate,0,COLUMN()),"YYYYMMDD"),"END_DATE_OVERRIDE",TEXT(INDEX(MO_Common_QEndDate,0,COLUMN()),"YYYYMMDD")),"N/A")</f>
        <v>N/A</v>
      </c>
      <c r="AK793" s="284" t="str">
        <f ca="1">IFERROR(BDP(MO.Ticker.Bloomberg&amp;" Equity","INTERVAL_HIGH","MARKET_DATA_OVERRIDE=PX_LAST","START_DATE_OVERRIDE",TEXT(INDEX(MO_SNA_FPStartDate,0,COLUMN()),"YYYYMMDD"),"END_DATE_OVERRIDE",TEXT(INDEX(MO_Common_QEndDate,0,COLUMN()),"YYYYMMDD")),"N/A")</f>
        <v>N/A</v>
      </c>
      <c r="AL793" s="284" t="str">
        <f ca="1">IFERROR(BDP(MO.Ticker.Bloomberg&amp;" Equity","INTERVAL_HIGH","MARKET_DATA_OVERRIDE=PX_LAST","START_DATE_OVERRIDE",TEXT(INDEX(MO_SNA_FPStartDate,0,COLUMN()),"YYYYMMDD"),"END_DATE_OVERRIDE",TEXT(INDEX(MO_Common_QEndDate,0,COLUMN()),"YYYYMMDD")),"N/A")</f>
        <v>N/A</v>
      </c>
      <c r="AM793" s="284" t="str">
        <f ca="1">IFERROR(BDP(MO.Ticker.Bloomberg&amp;" Equity","INTERVAL_HIGH","MARKET_DATA_OVERRIDE=PX_LAST","START_DATE_OVERRIDE",TEXT(INDEX(MO_SNA_FPStartDate,0,COLUMN()),"YYYYMMDD"),"END_DATE_OVERRIDE",TEXT(INDEX(MO_Common_QEndDate,0,COLUMN()),"YYYYMMDD")),"N/A")</f>
        <v>N/A</v>
      </c>
      <c r="AN793" s="284" t="str">
        <f ca="1">IFERROR(BDP(MO.Ticker.Bloomberg&amp;" Equity","INTERVAL_HIGH","MARKET_DATA_OVERRIDE=PX_LAST","START_DATE_OVERRIDE",TEXT(INDEX(MO_SNA_FPStartDate,0,COLUMN()),"YYYYMMDD"),"END_DATE_OVERRIDE",TEXT(INDEX(MO_Common_QEndDate,0,COLUMN()),"YYYYMMDD")),"N/A")</f>
        <v>N/A</v>
      </c>
      <c r="AO793" s="284" t="str">
        <f ca="1">IFERROR(BDP(MO.Ticker.Bloomberg&amp;" Equity","INTERVAL_HIGH","MARKET_DATA_OVERRIDE=PX_LAST","START_DATE_OVERRIDE",TEXT(INDEX(MO_SNA_FPStartDate,0,COLUMN()),"YYYYMMDD"),"END_DATE_OVERRIDE",TEXT(INDEX(MO_Common_QEndDate,0,COLUMN()),"YYYYMMDD")),"N/A")</f>
        <v>N/A</v>
      </c>
      <c r="AP793" s="284" t="str">
        <f ca="1">IFERROR(BDP(MO.Ticker.Bloomberg&amp;" Equity","INTERVAL_HIGH","MARKET_DATA_OVERRIDE=PX_LAST","START_DATE_OVERRIDE",TEXT(INDEX(MO_SNA_FPStartDate,0,COLUMN()),"YYYYMMDD"),"END_DATE_OVERRIDE",TEXT(INDEX(MO_Common_QEndDate,0,COLUMN()),"YYYYMMDD")),"N/A")</f>
        <v>N/A</v>
      </c>
      <c r="AQ793" s="284" t="str">
        <f ca="1">IFERROR(BDP(MO.Ticker.Bloomberg&amp;" Equity","INTERVAL_HIGH","MARKET_DATA_OVERRIDE=PX_LAST","START_DATE_OVERRIDE",TEXT(INDEX(MO_SNA_FPStartDate,0,COLUMN()),"YYYYMMDD"),"END_DATE_OVERRIDE",TEXT(INDEX(MO_Common_QEndDate,0,COLUMN()),"YYYYMMDD")),"N/A")</f>
        <v>N/A</v>
      </c>
      <c r="AR793" s="284" t="str">
        <f ca="1">IFERROR(BDP(MO.Ticker.Bloomberg&amp;" Equity","INTERVAL_HIGH","MARKET_DATA_OVERRIDE=PX_LAST","START_DATE_OVERRIDE",TEXT(INDEX(MO_SNA_FPStartDate,0,COLUMN()),"YYYYMMDD"),"END_DATE_OVERRIDE",TEXT(INDEX(MO_Common_QEndDate,0,COLUMN()),"YYYYMMDD")),"N/A")</f>
        <v>N/A</v>
      </c>
      <c r="AS793" s="284" t="str">
        <f ca="1">IFERROR(BDP(MO.Ticker.Bloomberg&amp;" Equity","INTERVAL_HIGH","MARKET_DATA_OVERRIDE=PX_LAST","START_DATE_OVERRIDE",TEXT(INDEX(MO_SNA_FPStartDate,0,COLUMN()),"YYYYMMDD"),"END_DATE_OVERRIDE",TEXT(INDEX(MO_Common_QEndDate,0,COLUMN()),"YYYYMMDD")),"N/A")</f>
        <v>N/A</v>
      </c>
      <c r="AT793" s="284" t="str">
        <f ca="1">IFERROR(BDP(MO.Ticker.Bloomberg&amp;" Equity","INTERVAL_HIGH","MARKET_DATA_OVERRIDE=PX_LAST","START_DATE_OVERRIDE",TEXT(INDEX(MO_SNA_FPStartDate,0,COLUMN()),"YYYYMMDD"),"END_DATE_OVERRIDE",TEXT(INDEX(MO_Common_QEndDate,0,COLUMN()),"YYYYMMDD")),"N/A")</f>
        <v>N/A</v>
      </c>
      <c r="AU793" s="284" t="str">
        <f ca="1">IFERROR(BDP(MO.Ticker.Bloomberg&amp;" Equity","INTERVAL_HIGH","MARKET_DATA_OVERRIDE=PX_LAST","START_DATE_OVERRIDE",TEXT(INDEX(MO_SNA_FPStartDate,0,COLUMN()),"YYYYMMDD"),"END_DATE_OVERRIDE",TEXT(INDEX(MO_Common_QEndDate,0,COLUMN()),"YYYYMMDD")),"N/A")</f>
        <v>N/A</v>
      </c>
      <c r="AV793" s="284" t="str">
        <f ca="1">IFERROR(BDP(MO.Ticker.Bloomberg&amp;" Equity","INTERVAL_HIGH","MARKET_DATA_OVERRIDE=PX_LAST","START_DATE_OVERRIDE",TEXT(INDEX(MO_SNA_FPStartDate,0,COLUMN()),"YYYYMMDD"),"END_DATE_OVERRIDE",TEXT(INDEX(MO_Common_QEndDate,0,COLUMN()),"YYYYMMDD")),"N/A")</f>
        <v>N/A</v>
      </c>
      <c r="AW793" s="284" t="str">
        <f ca="1">IFERROR(BDP(MO.Ticker.Bloomberg&amp;" Equity","INTERVAL_HIGH","MARKET_DATA_OVERRIDE=PX_LAST","START_DATE_OVERRIDE",TEXT(INDEX(MO_SNA_FPStartDate,0,COLUMN()),"YYYYMMDD"),"END_DATE_OVERRIDE",TEXT(INDEX(MO_Common_QEndDate,0,COLUMN()),"YYYYMMDD")),"N/A")</f>
        <v>N/A</v>
      </c>
      <c r="AX793" s="284" t="str">
        <f ca="1">IFERROR(BDP(MO.Ticker.Bloomberg&amp;" Equity","INTERVAL_HIGH","MARKET_DATA_OVERRIDE=PX_LAST","START_DATE_OVERRIDE",TEXT(INDEX(MO_SNA_FPStartDate,0,COLUMN()),"YYYYMMDD"),"END_DATE_OVERRIDE",TEXT(INDEX(MO_Common_QEndDate,0,COLUMN()),"YYYYMMDD")),"N/A")</f>
        <v>N/A</v>
      </c>
      <c r="AY793" s="284" t="str">
        <f ca="1">IFERROR(BDP(MO.Ticker.Bloomberg&amp;" Equity","INTERVAL_HIGH","MARKET_DATA_OVERRIDE=PX_LAST","START_DATE_OVERRIDE",TEXT(INDEX(MO_SNA_FPStartDate,0,COLUMN()),"YYYYMMDD"),"END_DATE_OVERRIDE",TEXT(INDEX(MO_Common_QEndDate,0,COLUMN()),"YYYYMMDD")),"N/A")</f>
        <v>N/A</v>
      </c>
      <c r="AZ793" s="284" t="str">
        <f ca="1">IFERROR(BDP(MO.Ticker.Bloomberg&amp;" Equity","INTERVAL_HIGH","MARKET_DATA_OVERRIDE=PX_LAST","START_DATE_OVERRIDE",TEXT(INDEX(MO_SNA_FPStartDate,0,COLUMN()),"YYYYMMDD"),"END_DATE_OVERRIDE",TEXT(INDEX(MO_Common_QEndDate,0,COLUMN()),"YYYYMMDD")),"N/A")</f>
        <v>N/A</v>
      </c>
      <c r="BA793" s="284" t="str">
        <f ca="1">IFERROR(BDP(MO.Ticker.Bloomberg&amp;" Equity","INTERVAL_HIGH","MARKET_DATA_OVERRIDE=PX_LAST","START_DATE_OVERRIDE",TEXT(INDEX(MO_SNA_FPStartDate,0,COLUMN()),"YYYYMMDD"),"END_DATE_OVERRIDE",TEXT(INDEX(MO_Common_QEndDate,0,COLUMN()),"YYYYMMDD")),"N/A")</f>
        <v>N/A</v>
      </c>
      <c r="BB793" s="284" t="str">
        <f ca="1">IFERROR(BDP(MO.Ticker.Bloomberg&amp;" Equity","INTERVAL_HIGH","MARKET_DATA_OVERRIDE=PX_LAST","START_DATE_OVERRIDE",TEXT(INDEX(MO_SNA_FPStartDate,0,COLUMN()),"YYYYMMDD"),"END_DATE_OVERRIDE",TEXT(INDEX(MO_Common_QEndDate,0,COLUMN()),"YYYYMMDD")),"N/A")</f>
        <v>N/A</v>
      </c>
      <c r="BC793" s="284" t="str">
        <f ca="1">IFERROR(BDP(MO.Ticker.Bloomberg&amp;" Equity","INTERVAL_HIGH","MARKET_DATA_OVERRIDE=PX_LAST","START_DATE_OVERRIDE",TEXT(INDEX(MO_SNA_FPStartDate,0,COLUMN()),"YYYYMMDD"),"END_DATE_OVERRIDE",TEXT(INDEX(MO_Common_QEndDate,0,COLUMN()),"YYYYMMDD")),"N/A")</f>
        <v>N/A</v>
      </c>
      <c r="BD793" s="284" t="str">
        <f ca="1">IFERROR(BDP(MO.Ticker.Bloomberg&amp;" Equity","INTERVAL_HIGH","MARKET_DATA_OVERRIDE=PX_LAST","START_DATE_OVERRIDE",TEXT(INDEX(MO_SNA_FPStartDate,0,COLUMN()),"YYYYMMDD"),"END_DATE_OVERRIDE",TEXT(INDEX(MO_Common_QEndDate,0,COLUMN()),"YYYYMMDD")),"N/A")</f>
        <v>N/A</v>
      </c>
      <c r="BE793" s="284" t="str">
        <f ca="1">IFERROR(BDP(MO.Ticker.Bloomberg&amp;" Equity","INTERVAL_HIGH","MARKET_DATA_OVERRIDE=PX_LAST","START_DATE_OVERRIDE",TEXT(INDEX(MO_SNA_FPStartDate,0,COLUMN()),"YYYYMMDD"),"END_DATE_OVERRIDE",TEXT(INDEX(MO_Common_QEndDate,0,COLUMN()),"YYYYMMDD")),"N/A")</f>
        <v>N/A</v>
      </c>
      <c r="BF793" s="284" t="str">
        <f ca="1">IFERROR(BDP(MO.Ticker.Bloomberg&amp;" Equity","INTERVAL_HIGH","MARKET_DATA_OVERRIDE=PX_LAST","START_DATE_OVERRIDE",TEXT(INDEX(MO_SNA_FPStartDate,0,COLUMN()),"YYYYMMDD"),"END_DATE_OVERRIDE",TEXT(INDEX(MO_Common_QEndDate,0,COLUMN()),"YYYYMMDD")),"N/A")</f>
        <v>N/A</v>
      </c>
      <c r="BG793" s="284" t="str">
        <f ca="1">IFERROR(BDP(MO.Ticker.Bloomberg&amp;" Equity","INTERVAL_HIGH","MARKET_DATA_OVERRIDE=PX_LAST","START_DATE_OVERRIDE",TEXT(INDEX(MO_SNA_FPStartDate,0,COLUMN()),"YYYYMMDD"),"END_DATE_OVERRIDE",TEXT(INDEX(MO_Common_QEndDate,0,COLUMN()),"YYYYMMDD")),"N/A")</f>
        <v>N/A</v>
      </c>
      <c r="BH793" s="561" t="str">
        <f ca="1">IFERROR(BDP(MO.Ticker.Bloomberg&amp;" Equity","INTERVAL_HIGH","MARKET_DATA_OVERRIDE=PX_LAST","START_DATE_OVERRIDE",TEXT(INDEX(MO_SNA_FPStartDate,0,COLUMN()),"YYYYMMDD"),"END_DATE_OVERRIDE",TEXT(INDEX(MO_Common_QEndDate,0,COLUMN()),"YYYYMMDD")),"N/A")</f>
        <v>N/A</v>
      </c>
      <c r="BI793" s="284" t="str">
        <f ca="1">IFERROR(BDP(MO.Ticker.Bloomberg&amp;" Equity","INTERVAL_HIGH","MARKET_DATA_OVERRIDE=PX_LAST","START_DATE_OVERRIDE",TEXT(INDEX(MO_SNA_FPStartDate,0,COLUMN()),"YYYYMMDD"),"END_DATE_OVERRIDE",TEXT(INDEX(MO_Common_QEndDate,0,COLUMN()),"YYYYMMDD")),"N/A")</f>
        <v>N/A</v>
      </c>
      <c r="BJ793" s="284" t="str">
        <f ca="1">IFERROR(BDP(MO.Ticker.Bloomberg&amp;" Equity","INTERVAL_HIGH","MARKET_DATA_OVERRIDE=PX_LAST","START_DATE_OVERRIDE",TEXT(INDEX(MO_SNA_FPStartDate,0,COLUMN()),"YYYYMMDD"),"END_DATE_OVERRIDE",TEXT(INDEX(MO_Common_QEndDate,0,COLUMN()),"YYYYMMDD")),"N/A")</f>
        <v>N/A</v>
      </c>
      <c r="BK793" s="284" t="str">
        <f ca="1">IFERROR(BDP(MO.Ticker.Bloomberg&amp;" Equity","INTERVAL_HIGH","MARKET_DATA_OVERRIDE=PX_LAST","START_DATE_OVERRIDE",TEXT(INDEX(MO_SNA_FPStartDate,0,COLUMN()),"YYYYMMDD"),"END_DATE_OVERRIDE",TEXT(INDEX(MO_Common_QEndDate,0,COLUMN()),"YYYYMMDD")),"N/A")</f>
        <v>N/A</v>
      </c>
      <c r="BL793" s="284" t="str">
        <f ca="1">IFERROR(BDP(MO.Ticker.Bloomberg&amp;" Equity","INTERVAL_HIGH","MARKET_DATA_OVERRIDE=PX_LAST","START_DATE_OVERRIDE",TEXT(INDEX(MO_SNA_FPStartDate,0,COLUMN()),"YYYYMMDD"),"END_DATE_OVERRIDE",TEXT(INDEX(MO_Common_QEndDate,0,COLUMN()),"YYYYMMDD")),"N/A")</f>
        <v>N/A</v>
      </c>
      <c r="BM793" s="284" t="str">
        <f ca="1">IFERROR(BDP(MO.Ticker.Bloomberg&amp;" Equity","INTERVAL_HIGH","MARKET_DATA_OVERRIDE=PX_LAST","START_DATE_OVERRIDE",TEXT(INDEX(MO_SNA_FPStartDate,0,COLUMN()),"YYYYMMDD"),"END_DATE_OVERRIDE",TEXT(INDEX(MO_Common_QEndDate,0,COLUMN()),"YYYYMMDD")),"N/A")</f>
        <v>N/A</v>
      </c>
      <c r="BN793" s="284" t="str">
        <f ca="1">IFERROR(BDP(MO.Ticker.Bloomberg&amp;" Equity","INTERVAL_HIGH","MARKET_DATA_OVERRIDE=PX_LAST","START_DATE_OVERRIDE",TEXT(INDEX(MO_SNA_FPStartDate,0,COLUMN()),"YYYYMMDD"),"END_DATE_OVERRIDE",TEXT(INDEX(MO_Common_QEndDate,0,COLUMN()),"YYYYMMDD")),"N/A")</f>
        <v>N/A</v>
      </c>
      <c r="BO793" s="284" t="str">
        <f ca="1">IFERROR(BDP(MO.Ticker.Bloomberg&amp;" Equity","INTERVAL_HIGH","MARKET_DATA_OVERRIDE=PX_LAST","START_DATE_OVERRIDE",TEXT(INDEX(MO_SNA_FPStartDate,0,COLUMN()),"YYYYMMDD"),"END_DATE_OVERRIDE",TEXT(INDEX(MO_Common_QEndDate,0,COLUMN()),"YYYYMMDD")),"N/A")</f>
        <v>N/A</v>
      </c>
      <c r="BP793" s="284" t="str">
        <f ca="1">IFERROR(BDP(MO.Ticker.Bloomberg&amp;" Equity","INTERVAL_HIGH","MARKET_DATA_OVERRIDE=PX_LAST","START_DATE_OVERRIDE",TEXT(INDEX(MO_SNA_FPStartDate,0,COLUMN()),"YYYYMMDD"),"END_DATE_OVERRIDE",TEXT(INDEX(MO_Common_QEndDate,0,COLUMN()),"YYYYMMDD")),"N/A")</f>
        <v>N/A</v>
      </c>
      <c r="BQ793" s="284" t="str">
        <f ca="1">IFERROR(BDP(MO.Ticker.Bloomberg&amp;" Equity","INTERVAL_HIGH","MARKET_DATA_OVERRIDE=PX_LAST","START_DATE_OVERRIDE",TEXT(INDEX(MO_SNA_FPStartDate,0,COLUMN()),"YYYYMMDD"),"END_DATE_OVERRIDE",TEXT(INDEX(MO_Common_QEndDate,0,COLUMN()),"YYYYMMDD")),"N/A")</f>
        <v>N/A</v>
      </c>
      <c r="BR793" s="286" t="str">
        <f ca="1">IFERROR(BDP(MO.Ticker.Bloomberg&amp;" Equity","INTERVAL_HIGH","MARKET_DATA_OVERRIDE=PX_LAST","START_DATE_OVERRIDE",TEXT(INDEX(MO_SNA_FPStartDate,0,COLUMN()),"YYYYMMDD"),"END_DATE_OVERRIDE",TEXT(INDEX(MO_Common_QEndDate,0,COLUMN()),"YYYYMMDD")),"N/A")</f>
        <v>N/A</v>
      </c>
      <c r="BS793" s="348"/>
    </row>
    <row r="794" spans="1:71" s="288" customFormat="1" ht="15" hidden="1" outlineLevel="1">
      <c r="A794" s="289" t="s">
        <v>305</v>
      </c>
      <c r="B794" s="284"/>
      <c r="C794" s="285" t="str">
        <f ca="1">IFERROR(CIQHI(MO.Ticker.CapIQ,"IQ_LASTSALEPRICE",INDEX(MO_SNA_FPStartDate,0,COLUMN()),INDEX(MO_Common_QEndDate,0,COLUMN())),"N/A")</f>
        <v>N/A</v>
      </c>
      <c r="D794" s="285" t="str">
        <f ca="1">IFERROR(CIQHI(MO.Ticker.CapIQ,"IQ_LASTSALEPRICE",INDEX(MO_SNA_FPStartDate,0,COLUMN()),INDEX(MO_Common_QEndDate,0,COLUMN())),"N/A")</f>
        <v>N/A</v>
      </c>
      <c r="E794" s="284" t="str">
        <f ca="1">IFERROR(CIQHI(MO.Ticker.CapIQ,"IQ_LASTSALEPRICE",INDEX(MO_SNA_FPStartDate,0,COLUMN()),INDEX(MO_Common_QEndDate,0,COLUMN())),"N/A")</f>
        <v>N/A</v>
      </c>
      <c r="F794" s="284" t="str">
        <f ca="1">IFERROR(CIQHI(MO.Ticker.CapIQ,"IQ_LASTSALEPRICE",INDEX(MO_SNA_FPStartDate,0,COLUMN()),INDEX(MO_Common_QEndDate,0,COLUMN())),"N/A")</f>
        <v>N/A</v>
      </c>
      <c r="G794" s="284" t="str">
        <f ca="1">IFERROR(CIQHI(MO.Ticker.CapIQ,"IQ_LASTSALEPRICE",INDEX(MO_SNA_FPStartDate,0,COLUMN()),INDEX(MO_Common_QEndDate,0,COLUMN())),"N/A")</f>
        <v>N/A</v>
      </c>
      <c r="H794" s="284" t="str">
        <f ca="1">IFERROR(CIQHI(MO.Ticker.CapIQ,"IQ_LASTSALEPRICE",INDEX(MO_SNA_FPStartDate,0,COLUMN()),INDEX(MO_Common_QEndDate,0,COLUMN())),"N/A")</f>
        <v>N/A</v>
      </c>
      <c r="I794" s="284" t="str">
        <f ca="1">IFERROR(CIQHI(MO.Ticker.CapIQ,"IQ_LASTSALEPRICE",INDEX(MO_SNA_FPStartDate,0,COLUMN()),INDEX(MO_Common_QEndDate,0,COLUMN())),"N/A")</f>
        <v>N/A</v>
      </c>
      <c r="J794" s="284" t="str">
        <f ca="1">IFERROR(CIQHI(MO.Ticker.CapIQ,"IQ_LASTSALEPRICE",INDEX(MO_SNA_FPStartDate,0,COLUMN()),INDEX(MO_Common_QEndDate,0,COLUMN())),"N/A")</f>
        <v>N/A</v>
      </c>
      <c r="K794" s="284" t="str">
        <f ca="1">IFERROR(CIQHI(MO.Ticker.CapIQ,"IQ_LASTSALEPRICE",INDEX(MO_SNA_FPStartDate,0,COLUMN()),INDEX(MO_Common_QEndDate,0,COLUMN())),"N/A")</f>
        <v>N/A</v>
      </c>
      <c r="L794" s="284" t="str">
        <f ca="1">IFERROR(CIQHI(MO.Ticker.CapIQ,"IQ_LASTSALEPRICE",INDEX(MO_SNA_FPStartDate,0,COLUMN()),INDEX(MO_Common_QEndDate,0,COLUMN())),"N/A")</f>
        <v>N/A</v>
      </c>
      <c r="M794" s="284" t="str">
        <f ca="1">IFERROR(CIQHI(MO.Ticker.CapIQ,"IQ_LASTSALEPRICE",INDEX(MO_SNA_FPStartDate,0,COLUMN()),INDEX(MO_Common_QEndDate,0,COLUMN())),"N/A")</f>
        <v>N/A</v>
      </c>
      <c r="N794" s="284" t="str">
        <f ca="1">IFERROR(CIQHI(MO.Ticker.CapIQ,"IQ_LASTSALEPRICE",INDEX(MO_SNA_FPStartDate,0,COLUMN()),INDEX(MO_Common_QEndDate,0,COLUMN())),"N/A")</f>
        <v>N/A</v>
      </c>
      <c r="O794" s="284" t="str">
        <f ca="1">IFERROR(CIQHI(MO.Ticker.CapIQ,"IQ_LASTSALEPRICE",INDEX(MO_SNA_FPStartDate,0,COLUMN()),INDEX(MO_Common_QEndDate,0,COLUMN())),"N/A")</f>
        <v>N/A</v>
      </c>
      <c r="P794" s="284" t="str">
        <f ca="1">IFERROR(CIQHI(MO.Ticker.CapIQ,"IQ_LASTSALEPRICE",INDEX(MO_SNA_FPStartDate,0,COLUMN()),INDEX(MO_Common_QEndDate,0,COLUMN())),"N/A")</f>
        <v>N/A</v>
      </c>
      <c r="Q794" s="284" t="str">
        <f ca="1">IFERROR(CIQHI(MO.Ticker.CapIQ,"IQ_LASTSALEPRICE",INDEX(MO_SNA_FPStartDate,0,COLUMN()),INDEX(MO_Common_QEndDate,0,COLUMN())),"N/A")</f>
        <v>N/A</v>
      </c>
      <c r="R794" s="284" t="str">
        <f ca="1">IFERROR(CIQHI(MO.Ticker.CapIQ,"IQ_LASTSALEPRICE",INDEX(MO_SNA_FPStartDate,0,COLUMN()),INDEX(MO_Common_QEndDate,0,COLUMN())),"N/A")</f>
        <v>N/A</v>
      </c>
      <c r="S794" s="284" t="str">
        <f ca="1">IFERROR(CIQHI(MO.Ticker.CapIQ,"IQ_LASTSALEPRICE",INDEX(MO_SNA_FPStartDate,0,COLUMN()),INDEX(MO_Common_QEndDate,0,COLUMN())),"N/A")</f>
        <v>N/A</v>
      </c>
      <c r="T794" s="284" t="str">
        <f ca="1">IFERROR(CIQHI(MO.Ticker.CapIQ,"IQ_LASTSALEPRICE",INDEX(MO_SNA_FPStartDate,0,COLUMN()),INDEX(MO_Common_QEndDate,0,COLUMN())),"N/A")</f>
        <v>N/A</v>
      </c>
      <c r="U794" s="284" t="str">
        <f ca="1">IFERROR(CIQHI(MO.Ticker.CapIQ,"IQ_LASTSALEPRICE",INDEX(MO_SNA_FPStartDate,0,COLUMN()),INDEX(MO_Common_QEndDate,0,COLUMN())),"N/A")</f>
        <v>N/A</v>
      </c>
      <c r="V794" s="284" t="str">
        <f ca="1">IFERROR(CIQHI(MO.Ticker.CapIQ,"IQ_LASTSALEPRICE",INDEX(MO_SNA_FPStartDate,0,COLUMN()),INDEX(MO_Common_QEndDate,0,COLUMN())),"N/A")</f>
        <v>N/A</v>
      </c>
      <c r="W794" s="284" t="str">
        <f ca="1">IFERROR(CIQHI(MO.Ticker.CapIQ,"IQ_LASTSALEPRICE",INDEX(MO_SNA_FPStartDate,0,COLUMN()),INDEX(MO_Common_QEndDate,0,COLUMN())),"N/A")</f>
        <v>N/A</v>
      </c>
      <c r="X794" s="284" t="str">
        <f ca="1">IFERROR(CIQHI(MO.Ticker.CapIQ,"IQ_LASTSALEPRICE",INDEX(MO_SNA_FPStartDate,0,COLUMN()),INDEX(MO_Common_QEndDate,0,COLUMN())),"N/A")</f>
        <v>N/A</v>
      </c>
      <c r="Y794" s="284" t="str">
        <f ca="1">IFERROR(CIQHI(MO.Ticker.CapIQ,"IQ_LASTSALEPRICE",INDEX(MO_SNA_FPStartDate,0,COLUMN()),INDEX(MO_Common_QEndDate,0,COLUMN())),"N/A")</f>
        <v>N/A</v>
      </c>
      <c r="Z794" s="284" t="str">
        <f ca="1">IFERROR(CIQHI(MO.Ticker.CapIQ,"IQ_LASTSALEPRICE",INDEX(MO_SNA_FPStartDate,0,COLUMN()),INDEX(MO_Common_QEndDate,0,COLUMN())),"N/A")</f>
        <v>N/A</v>
      </c>
      <c r="AA794" s="284" t="str">
        <f ca="1">IFERROR(CIQHI(MO.Ticker.CapIQ,"IQ_LASTSALEPRICE",INDEX(MO_SNA_FPStartDate,0,COLUMN()),INDEX(MO_Common_QEndDate,0,COLUMN())),"N/A")</f>
        <v>N/A</v>
      </c>
      <c r="AB794" s="284" t="str">
        <f ca="1">IFERROR(CIQHI(MO.Ticker.CapIQ,"IQ_LASTSALEPRICE",INDEX(MO_SNA_FPStartDate,0,COLUMN()),INDEX(MO_Common_QEndDate,0,COLUMN())),"N/A")</f>
        <v>N/A</v>
      </c>
      <c r="AC794" s="284" t="str">
        <f ca="1">IFERROR(CIQHI(MO.Ticker.CapIQ,"IQ_LASTSALEPRICE",INDEX(MO_SNA_FPStartDate,0,COLUMN()),INDEX(MO_Common_QEndDate,0,COLUMN())),"N/A")</f>
        <v>N/A</v>
      </c>
      <c r="AD794" s="284" t="str">
        <f ca="1">IFERROR(CIQHI(MO.Ticker.CapIQ,"IQ_LASTSALEPRICE",INDEX(MO_SNA_FPStartDate,0,COLUMN()),INDEX(MO_Common_QEndDate,0,COLUMN())),"N/A")</f>
        <v>N/A</v>
      </c>
      <c r="AE794" s="284" t="str">
        <f ca="1">IFERROR(CIQHI(MO.Ticker.CapIQ,"IQ_LASTSALEPRICE",INDEX(MO_SNA_FPStartDate,0,COLUMN()),INDEX(MO_Common_QEndDate,0,COLUMN())),"N/A")</f>
        <v>N/A</v>
      </c>
      <c r="AF794" s="284" t="str">
        <f ca="1">IFERROR(CIQHI(MO.Ticker.CapIQ,"IQ_LASTSALEPRICE",INDEX(MO_SNA_FPStartDate,0,COLUMN()),INDEX(MO_Common_QEndDate,0,COLUMN())),"N/A")</f>
        <v>N/A</v>
      </c>
      <c r="AG794" s="284" t="str">
        <f ca="1">IFERROR(CIQHI(MO.Ticker.CapIQ,"IQ_LASTSALEPRICE",INDEX(MO_SNA_FPStartDate,0,COLUMN()),INDEX(MO_Common_QEndDate,0,COLUMN())),"N/A")</f>
        <v>N/A</v>
      </c>
      <c r="AH794" s="284" t="str">
        <f ca="1">IFERROR(CIQHI(MO.Ticker.CapIQ,"IQ_LASTSALEPRICE",INDEX(MO_SNA_FPStartDate,0,COLUMN()),INDEX(MO_Common_QEndDate,0,COLUMN())),"N/A")</f>
        <v>N/A</v>
      </c>
      <c r="AI794" s="284" t="str">
        <f ca="1">IFERROR(CIQHI(MO.Ticker.CapIQ,"IQ_LASTSALEPRICE",INDEX(MO_SNA_FPStartDate,0,COLUMN()),INDEX(MO_Common_QEndDate,0,COLUMN())),"N/A")</f>
        <v>N/A</v>
      </c>
      <c r="AJ794" s="284" t="str">
        <f ca="1">IFERROR(CIQHI(MO.Ticker.CapIQ,"IQ_LASTSALEPRICE",INDEX(MO_SNA_FPStartDate,0,COLUMN()),INDEX(MO_Common_QEndDate,0,COLUMN())),"N/A")</f>
        <v>N/A</v>
      </c>
      <c r="AK794" s="284" t="str">
        <f ca="1">IFERROR(CIQHI(MO.Ticker.CapIQ,"IQ_LASTSALEPRICE",INDEX(MO_SNA_FPStartDate,0,COLUMN()),INDEX(MO_Common_QEndDate,0,COLUMN())),"N/A")</f>
        <v>N/A</v>
      </c>
      <c r="AL794" s="284" t="str">
        <f ca="1">IFERROR(CIQHI(MO.Ticker.CapIQ,"IQ_LASTSALEPRICE",INDEX(MO_SNA_FPStartDate,0,COLUMN()),INDEX(MO_Common_QEndDate,0,COLUMN())),"N/A")</f>
        <v>N/A</v>
      </c>
      <c r="AM794" s="284" t="str">
        <f ca="1">IFERROR(CIQHI(MO.Ticker.CapIQ,"IQ_LASTSALEPRICE",INDEX(MO_SNA_FPStartDate,0,COLUMN()),INDEX(MO_Common_QEndDate,0,COLUMN())),"N/A")</f>
        <v>N/A</v>
      </c>
      <c r="AN794" s="284" t="str">
        <f ca="1">IFERROR(CIQHI(MO.Ticker.CapIQ,"IQ_LASTSALEPRICE",INDEX(MO_SNA_FPStartDate,0,COLUMN()),INDEX(MO_Common_QEndDate,0,COLUMN())),"N/A")</f>
        <v>N/A</v>
      </c>
      <c r="AO794" s="284" t="str">
        <f ca="1">IFERROR(CIQHI(MO.Ticker.CapIQ,"IQ_LASTSALEPRICE",INDEX(MO_SNA_FPStartDate,0,COLUMN()),INDEX(MO_Common_QEndDate,0,COLUMN())),"N/A")</f>
        <v>N/A</v>
      </c>
      <c r="AP794" s="284" t="str">
        <f ca="1">IFERROR(CIQHI(MO.Ticker.CapIQ,"IQ_LASTSALEPRICE",INDEX(MO_SNA_FPStartDate,0,COLUMN()),INDEX(MO_Common_QEndDate,0,COLUMN())),"N/A")</f>
        <v>N/A</v>
      </c>
      <c r="AQ794" s="284" t="str">
        <f ca="1">IFERROR(CIQHI(MO.Ticker.CapIQ,"IQ_LASTSALEPRICE",INDEX(MO_SNA_FPStartDate,0,COLUMN()),INDEX(MO_Common_QEndDate,0,COLUMN())),"N/A")</f>
        <v>N/A</v>
      </c>
      <c r="AR794" s="284" t="str">
        <f ca="1">IFERROR(CIQHI(MO.Ticker.CapIQ,"IQ_LASTSALEPRICE",INDEX(MO_SNA_FPStartDate,0,COLUMN()),INDEX(MO_Common_QEndDate,0,COLUMN())),"N/A")</f>
        <v>N/A</v>
      </c>
      <c r="AS794" s="284" t="str">
        <f ca="1">IFERROR(CIQHI(MO.Ticker.CapIQ,"IQ_LASTSALEPRICE",INDEX(MO_SNA_FPStartDate,0,COLUMN()),INDEX(MO_Common_QEndDate,0,COLUMN())),"N/A")</f>
        <v>N/A</v>
      </c>
      <c r="AT794" s="284" t="str">
        <f ca="1">IFERROR(CIQHI(MO.Ticker.CapIQ,"IQ_LASTSALEPRICE",INDEX(MO_SNA_FPStartDate,0,COLUMN()),INDEX(MO_Common_QEndDate,0,COLUMN())),"N/A")</f>
        <v>N/A</v>
      </c>
      <c r="AU794" s="284" t="str">
        <f ca="1">IFERROR(CIQHI(MO.Ticker.CapIQ,"IQ_LASTSALEPRICE",INDEX(MO_SNA_FPStartDate,0,COLUMN()),INDEX(MO_Common_QEndDate,0,COLUMN())),"N/A")</f>
        <v>N/A</v>
      </c>
      <c r="AV794" s="284" t="str">
        <f ca="1">IFERROR(CIQHI(MO.Ticker.CapIQ,"IQ_LASTSALEPRICE",INDEX(MO_SNA_FPStartDate,0,COLUMN()),INDEX(MO_Common_QEndDate,0,COLUMN())),"N/A")</f>
        <v>N/A</v>
      </c>
      <c r="AW794" s="284" t="str">
        <f ca="1">IFERROR(CIQHI(MO.Ticker.CapIQ,"IQ_LASTSALEPRICE",INDEX(MO_SNA_FPStartDate,0,COLUMN()),INDEX(MO_Common_QEndDate,0,COLUMN())),"N/A")</f>
        <v>N/A</v>
      </c>
      <c r="AX794" s="284" t="str">
        <f ca="1">IFERROR(CIQHI(MO.Ticker.CapIQ,"IQ_LASTSALEPRICE",INDEX(MO_SNA_FPStartDate,0,COLUMN()),INDEX(MO_Common_QEndDate,0,COLUMN())),"N/A")</f>
        <v>N/A</v>
      </c>
      <c r="AY794" s="284" t="str">
        <f ca="1">IFERROR(CIQHI(MO.Ticker.CapIQ,"IQ_LASTSALEPRICE",INDEX(MO_SNA_FPStartDate,0,COLUMN()),INDEX(MO_Common_QEndDate,0,COLUMN())),"N/A")</f>
        <v>N/A</v>
      </c>
      <c r="AZ794" s="284" t="str">
        <f ca="1">IFERROR(CIQHI(MO.Ticker.CapIQ,"IQ_LASTSALEPRICE",INDEX(MO_SNA_FPStartDate,0,COLUMN()),INDEX(MO_Common_QEndDate,0,COLUMN())),"N/A")</f>
        <v>N/A</v>
      </c>
      <c r="BA794" s="284" t="str">
        <f ca="1">IFERROR(CIQHI(MO.Ticker.CapIQ,"IQ_LASTSALEPRICE",INDEX(MO_SNA_FPStartDate,0,COLUMN()),INDEX(MO_Common_QEndDate,0,COLUMN())),"N/A")</f>
        <v>N/A</v>
      </c>
      <c r="BB794" s="284" t="str">
        <f ca="1">IFERROR(CIQHI(MO.Ticker.CapIQ,"IQ_LASTSALEPRICE",INDEX(MO_SNA_FPStartDate,0,COLUMN()),INDEX(MO_Common_QEndDate,0,COLUMN())),"N/A")</f>
        <v>N/A</v>
      </c>
      <c r="BC794" s="284" t="str">
        <f ca="1">IFERROR(CIQHI(MO.Ticker.CapIQ,"IQ_LASTSALEPRICE",INDEX(MO_SNA_FPStartDate,0,COLUMN()),INDEX(MO_Common_QEndDate,0,COLUMN())),"N/A")</f>
        <v>N/A</v>
      </c>
      <c r="BD794" s="284" t="str">
        <f ca="1">IFERROR(CIQHI(MO.Ticker.CapIQ,"IQ_LASTSALEPRICE",INDEX(MO_SNA_FPStartDate,0,COLUMN()),INDEX(MO_Common_QEndDate,0,COLUMN())),"N/A")</f>
        <v>N/A</v>
      </c>
      <c r="BE794" s="284" t="str">
        <f ca="1">IFERROR(CIQHI(MO.Ticker.CapIQ,"IQ_LASTSALEPRICE",INDEX(MO_SNA_FPStartDate,0,COLUMN()),INDEX(MO_Common_QEndDate,0,COLUMN())),"N/A")</f>
        <v>N/A</v>
      </c>
      <c r="BF794" s="284" t="str">
        <f ca="1">IFERROR(CIQHI(MO.Ticker.CapIQ,"IQ_LASTSALEPRICE",INDEX(MO_SNA_FPStartDate,0,COLUMN()),INDEX(MO_Common_QEndDate,0,COLUMN())),"N/A")</f>
        <v>N/A</v>
      </c>
      <c r="BG794" s="284" t="str">
        <f ca="1">IFERROR(CIQHI(MO.Ticker.CapIQ,"IQ_LASTSALEPRICE",INDEX(MO_SNA_FPStartDate,0,COLUMN()),INDEX(MO_Common_QEndDate,0,COLUMN())),"N/A")</f>
        <v>N/A</v>
      </c>
      <c r="BH794" s="561" t="str">
        <f ca="1">IFERROR(CIQHI(MO.Ticker.CapIQ,"IQ_LASTSALEPRICE",INDEX(MO_SNA_FPStartDate,0,COLUMN()),INDEX(MO_Common_QEndDate,0,COLUMN())),"N/A")</f>
        <v>N/A</v>
      </c>
      <c r="BI794" s="284" t="str">
        <f ca="1">IFERROR(CIQHI(MO.Ticker.CapIQ,"IQ_LASTSALEPRICE",INDEX(MO_SNA_FPStartDate,0,COLUMN()),INDEX(MO_Common_QEndDate,0,COLUMN())),"N/A")</f>
        <v>N/A</v>
      </c>
      <c r="BJ794" s="284" t="str">
        <f ca="1">IFERROR(CIQHI(MO.Ticker.CapIQ,"IQ_LASTSALEPRICE",INDEX(MO_SNA_FPStartDate,0,COLUMN()),INDEX(MO_Common_QEndDate,0,COLUMN())),"N/A")</f>
        <v>N/A</v>
      </c>
      <c r="BK794" s="284" t="str">
        <f ca="1">IFERROR(CIQHI(MO.Ticker.CapIQ,"IQ_LASTSALEPRICE",INDEX(MO_SNA_FPStartDate,0,COLUMN()),INDEX(MO_Common_QEndDate,0,COLUMN())),"N/A")</f>
        <v>N/A</v>
      </c>
      <c r="BL794" s="284" t="str">
        <f ca="1">IFERROR(CIQHI(MO.Ticker.CapIQ,"IQ_LASTSALEPRICE",INDEX(MO_SNA_FPStartDate,0,COLUMN()),INDEX(MO_Common_QEndDate,0,COLUMN())),"N/A")</f>
        <v>N/A</v>
      </c>
      <c r="BM794" s="284" t="str">
        <f ca="1">IFERROR(CIQHI(MO.Ticker.CapIQ,"IQ_LASTSALEPRICE",INDEX(MO_SNA_FPStartDate,0,COLUMN()),INDEX(MO_Common_QEndDate,0,COLUMN())),"N/A")</f>
        <v>N/A</v>
      </c>
      <c r="BN794" s="284" t="str">
        <f ca="1">IFERROR(CIQHI(MO.Ticker.CapIQ,"IQ_LASTSALEPRICE",INDEX(MO_SNA_FPStartDate,0,COLUMN()),INDEX(MO_Common_QEndDate,0,COLUMN())),"N/A")</f>
        <v>N/A</v>
      </c>
      <c r="BO794" s="284" t="str">
        <f ca="1">IFERROR(CIQHI(MO.Ticker.CapIQ,"IQ_LASTSALEPRICE",INDEX(MO_SNA_FPStartDate,0,COLUMN()),INDEX(MO_Common_QEndDate,0,COLUMN())),"N/A")</f>
        <v>N/A</v>
      </c>
      <c r="BP794" s="284" t="str">
        <f ca="1">IFERROR(CIQHI(MO.Ticker.CapIQ,"IQ_LASTSALEPRICE",INDEX(MO_SNA_FPStartDate,0,COLUMN()),INDEX(MO_Common_QEndDate,0,COLUMN())),"N/A")</f>
        <v>N/A</v>
      </c>
      <c r="BQ794" s="284" t="str">
        <f ca="1">IFERROR(CIQHI(MO.Ticker.CapIQ,"IQ_LASTSALEPRICE",INDEX(MO_SNA_FPStartDate,0,COLUMN()),INDEX(MO_Common_QEndDate,0,COLUMN())),"N/A")</f>
        <v>N/A</v>
      </c>
      <c r="BR794" s="286" t="str">
        <f ca="1">IFERROR(CIQHI(MO.Ticker.CapIQ,"IQ_LASTSALEPRICE",INDEX(MO_SNA_FPStartDate,0,COLUMN()),INDEX(MO_Common_QEndDate,0,COLUMN())),"N/A")</f>
        <v>N/A</v>
      </c>
      <c r="BS794" s="348"/>
    </row>
    <row r="795" spans="1:71" s="288" customFormat="1" ht="15" hidden="1" outlineLevel="1">
      <c r="A795" s="289" t="s">
        <v>306</v>
      </c>
      <c r="B795" s="284"/>
      <c r="C795" s="285" t="str">
        <f ca="1">IFERROR(FDS(MO.Ticker.FactSet,"P_PRICE_HIGH"&amp;"("&amp;INDEX(MO_SNA_FPStartDate,0,COLUMN())&amp;","&amp;INDEX(MO_Common_QEndDate,0,COLUMN())&amp;",,,,""PRICE"",""CLOSE"")"),"N/A")</f>
        <v>N/A</v>
      </c>
      <c r="D795" s="285" t="str">
        <f ca="1">IFERROR(FDS(MO.Ticker.FactSet,"P_PRICE_HIGH"&amp;"("&amp;INDEX(MO_SNA_FPStartDate,0,COLUMN())&amp;","&amp;INDEX(MO_Common_QEndDate,0,COLUMN())&amp;",,,,""PRICE"",""CLOSE"")"),"N/A")</f>
        <v>N/A</v>
      </c>
      <c r="E795" s="284" t="str">
        <f ca="1">IFERROR(FDS(MO.Ticker.FactSet,"P_PRICE_HIGH"&amp;"("&amp;INDEX(MO_SNA_FPStartDate,0,COLUMN())&amp;","&amp;INDEX(MO_Common_QEndDate,0,COLUMN())&amp;",,,,""PRICE"",""CLOSE"")"),"N/A")</f>
        <v>N/A</v>
      </c>
      <c r="F795" s="284" t="str">
        <f ca="1">IFERROR(FDS(MO.Ticker.FactSet,"P_PRICE_HIGH"&amp;"("&amp;INDEX(MO_SNA_FPStartDate,0,COLUMN())&amp;","&amp;INDEX(MO_Common_QEndDate,0,COLUMN())&amp;",,,,""PRICE"",""CLOSE"")"),"N/A")</f>
        <v>N/A</v>
      </c>
      <c r="G795" s="284" t="str">
        <f ca="1">IFERROR(FDS(MO.Ticker.FactSet,"P_PRICE_HIGH"&amp;"("&amp;INDEX(MO_SNA_FPStartDate,0,COLUMN())&amp;","&amp;INDEX(MO_Common_QEndDate,0,COLUMN())&amp;",,,,""PRICE"",""CLOSE"")"),"N/A")</f>
        <v>N/A</v>
      </c>
      <c r="H795" s="284" t="str">
        <f ca="1">IFERROR(FDS(MO.Ticker.FactSet,"P_PRICE_HIGH"&amp;"("&amp;INDEX(MO_SNA_FPStartDate,0,COLUMN())&amp;","&amp;INDEX(MO_Common_QEndDate,0,COLUMN())&amp;",,,,""PRICE"",""CLOSE"")"),"N/A")</f>
        <v>N/A</v>
      </c>
      <c r="I795" s="284" t="str">
        <f ca="1">IFERROR(FDS(MO.Ticker.FactSet,"P_PRICE_HIGH"&amp;"("&amp;INDEX(MO_SNA_FPStartDate,0,COLUMN())&amp;","&amp;INDEX(MO_Common_QEndDate,0,COLUMN())&amp;",,,,""PRICE"",""CLOSE"")"),"N/A")</f>
        <v>N/A</v>
      </c>
      <c r="J795" s="284" t="str">
        <f ca="1">IFERROR(FDS(MO.Ticker.FactSet,"P_PRICE_HIGH"&amp;"("&amp;INDEX(MO_SNA_FPStartDate,0,COLUMN())&amp;","&amp;INDEX(MO_Common_QEndDate,0,COLUMN())&amp;",,,,""PRICE"",""CLOSE"")"),"N/A")</f>
        <v>N/A</v>
      </c>
      <c r="K795" s="284" t="str">
        <f ca="1">IFERROR(FDS(MO.Ticker.FactSet,"P_PRICE_HIGH"&amp;"("&amp;INDEX(MO_SNA_FPStartDate,0,COLUMN())&amp;","&amp;INDEX(MO_Common_QEndDate,0,COLUMN())&amp;",,,,""PRICE"",""CLOSE"")"),"N/A")</f>
        <v>N/A</v>
      </c>
      <c r="L795" s="284" t="str">
        <f ca="1">IFERROR(FDS(MO.Ticker.FactSet,"P_PRICE_HIGH"&amp;"("&amp;INDEX(MO_SNA_FPStartDate,0,COLUMN())&amp;","&amp;INDEX(MO_Common_QEndDate,0,COLUMN())&amp;",,,,""PRICE"",""CLOSE"")"),"N/A")</f>
        <v>N/A</v>
      </c>
      <c r="M795" s="284" t="str">
        <f ca="1">IFERROR(FDS(MO.Ticker.FactSet,"P_PRICE_HIGH"&amp;"("&amp;INDEX(MO_SNA_FPStartDate,0,COLUMN())&amp;","&amp;INDEX(MO_Common_QEndDate,0,COLUMN())&amp;",,,,""PRICE"",""CLOSE"")"),"N/A")</f>
        <v>N/A</v>
      </c>
      <c r="N795" s="284" t="str">
        <f ca="1">IFERROR(FDS(MO.Ticker.FactSet,"P_PRICE_HIGH"&amp;"("&amp;INDEX(MO_SNA_FPStartDate,0,COLUMN())&amp;","&amp;INDEX(MO_Common_QEndDate,0,COLUMN())&amp;",,,,""PRICE"",""CLOSE"")"),"N/A")</f>
        <v>N/A</v>
      </c>
      <c r="O795" s="284" t="str">
        <f ca="1">IFERROR(FDS(MO.Ticker.FactSet,"P_PRICE_HIGH"&amp;"("&amp;INDEX(MO_SNA_FPStartDate,0,COLUMN())&amp;","&amp;INDEX(MO_Common_QEndDate,0,COLUMN())&amp;",,,,""PRICE"",""CLOSE"")"),"N/A")</f>
        <v>N/A</v>
      </c>
      <c r="P795" s="284" t="str">
        <f ca="1">IFERROR(FDS(MO.Ticker.FactSet,"P_PRICE_HIGH"&amp;"("&amp;INDEX(MO_SNA_FPStartDate,0,COLUMN())&amp;","&amp;INDEX(MO_Common_QEndDate,0,COLUMN())&amp;",,,,""PRICE"",""CLOSE"")"),"N/A")</f>
        <v>N/A</v>
      </c>
      <c r="Q795" s="284" t="str">
        <f ca="1">IFERROR(FDS(MO.Ticker.FactSet,"P_PRICE_HIGH"&amp;"("&amp;INDEX(MO_SNA_FPStartDate,0,COLUMN())&amp;","&amp;INDEX(MO_Common_QEndDate,0,COLUMN())&amp;",,,,""PRICE"",""CLOSE"")"),"N/A")</f>
        <v>N/A</v>
      </c>
      <c r="R795" s="284" t="str">
        <f ca="1">IFERROR(FDS(MO.Ticker.FactSet,"P_PRICE_HIGH"&amp;"("&amp;INDEX(MO_SNA_FPStartDate,0,COLUMN())&amp;","&amp;INDEX(MO_Common_QEndDate,0,COLUMN())&amp;",,,,""PRICE"",""CLOSE"")"),"N/A")</f>
        <v>N/A</v>
      </c>
      <c r="S795" s="284" t="str">
        <f ca="1">IFERROR(FDS(MO.Ticker.FactSet,"P_PRICE_HIGH"&amp;"("&amp;INDEX(MO_SNA_FPStartDate,0,COLUMN())&amp;","&amp;INDEX(MO_Common_QEndDate,0,COLUMN())&amp;",,,,""PRICE"",""CLOSE"")"),"N/A")</f>
        <v>N/A</v>
      </c>
      <c r="T795" s="284" t="str">
        <f ca="1">IFERROR(FDS(MO.Ticker.FactSet,"P_PRICE_HIGH"&amp;"("&amp;INDEX(MO_SNA_FPStartDate,0,COLUMN())&amp;","&amp;INDEX(MO_Common_QEndDate,0,COLUMN())&amp;",,,,""PRICE"",""CLOSE"")"),"N/A")</f>
        <v>N/A</v>
      </c>
      <c r="U795" s="284" t="str">
        <f ca="1">IFERROR(FDS(MO.Ticker.FactSet,"P_PRICE_HIGH"&amp;"("&amp;INDEX(MO_SNA_FPStartDate,0,COLUMN())&amp;","&amp;INDEX(MO_Common_QEndDate,0,COLUMN())&amp;",,,,""PRICE"",""CLOSE"")"),"N/A")</f>
        <v>N/A</v>
      </c>
      <c r="V795" s="284" t="str">
        <f ca="1">IFERROR(FDS(MO.Ticker.FactSet,"P_PRICE_HIGH"&amp;"("&amp;INDEX(MO_SNA_FPStartDate,0,COLUMN())&amp;","&amp;INDEX(MO_Common_QEndDate,0,COLUMN())&amp;",,,,""PRICE"",""CLOSE"")"),"N/A")</f>
        <v>N/A</v>
      </c>
      <c r="W795" s="284" t="str">
        <f ca="1">IFERROR(FDS(MO.Ticker.FactSet,"P_PRICE_HIGH"&amp;"("&amp;INDEX(MO_SNA_FPStartDate,0,COLUMN())&amp;","&amp;INDEX(MO_Common_QEndDate,0,COLUMN())&amp;",,,,""PRICE"",""CLOSE"")"),"N/A")</f>
        <v>N/A</v>
      </c>
      <c r="X795" s="284" t="str">
        <f ca="1">IFERROR(FDS(MO.Ticker.FactSet,"P_PRICE_HIGH"&amp;"("&amp;INDEX(MO_SNA_FPStartDate,0,COLUMN())&amp;","&amp;INDEX(MO_Common_QEndDate,0,COLUMN())&amp;",,,,""PRICE"",""CLOSE"")"),"N/A")</f>
        <v>N/A</v>
      </c>
      <c r="Y795" s="284" t="str">
        <f ca="1">IFERROR(FDS(MO.Ticker.FactSet,"P_PRICE_HIGH"&amp;"("&amp;INDEX(MO_SNA_FPStartDate,0,COLUMN())&amp;","&amp;INDEX(MO_Common_QEndDate,0,COLUMN())&amp;",,,,""PRICE"",""CLOSE"")"),"N/A")</f>
        <v>N/A</v>
      </c>
      <c r="Z795" s="284" t="str">
        <f ca="1">IFERROR(FDS(MO.Ticker.FactSet,"P_PRICE_HIGH"&amp;"("&amp;INDEX(MO_SNA_FPStartDate,0,COLUMN())&amp;","&amp;INDEX(MO_Common_QEndDate,0,COLUMN())&amp;",,,,""PRICE"",""CLOSE"")"),"N/A")</f>
        <v>N/A</v>
      </c>
      <c r="AA795" s="284" t="str">
        <f ca="1">IFERROR(FDS(MO.Ticker.FactSet,"P_PRICE_HIGH"&amp;"("&amp;INDEX(MO_SNA_FPStartDate,0,COLUMN())&amp;","&amp;INDEX(MO_Common_QEndDate,0,COLUMN())&amp;",,,,""PRICE"",""CLOSE"")"),"N/A")</f>
        <v>N/A</v>
      </c>
      <c r="AB795" s="284" t="str">
        <f ca="1">IFERROR(FDS(MO.Ticker.FactSet,"P_PRICE_HIGH"&amp;"("&amp;INDEX(MO_SNA_FPStartDate,0,COLUMN())&amp;","&amp;INDEX(MO_Common_QEndDate,0,COLUMN())&amp;",,,,""PRICE"",""CLOSE"")"),"N/A")</f>
        <v>N/A</v>
      </c>
      <c r="AC795" s="284" t="str">
        <f ca="1">IFERROR(FDS(MO.Ticker.FactSet,"P_PRICE_HIGH"&amp;"("&amp;INDEX(MO_SNA_FPStartDate,0,COLUMN())&amp;","&amp;INDEX(MO_Common_QEndDate,0,COLUMN())&amp;",,,,""PRICE"",""CLOSE"")"),"N/A")</f>
        <v>N/A</v>
      </c>
      <c r="AD795" s="284" t="str">
        <f ca="1">IFERROR(FDS(MO.Ticker.FactSet,"P_PRICE_HIGH"&amp;"("&amp;INDEX(MO_SNA_FPStartDate,0,COLUMN())&amp;","&amp;INDEX(MO_Common_QEndDate,0,COLUMN())&amp;",,,,""PRICE"",""CLOSE"")"),"N/A")</f>
        <v>N/A</v>
      </c>
      <c r="AE795" s="284" t="str">
        <f ca="1">IFERROR(FDS(MO.Ticker.FactSet,"P_PRICE_HIGH"&amp;"("&amp;INDEX(MO_SNA_FPStartDate,0,COLUMN())&amp;","&amp;INDEX(MO_Common_QEndDate,0,COLUMN())&amp;",,,,""PRICE"",""CLOSE"")"),"N/A")</f>
        <v>N/A</v>
      </c>
      <c r="AF795" s="284" t="str">
        <f ca="1">IFERROR(FDS(MO.Ticker.FactSet,"P_PRICE_HIGH"&amp;"("&amp;INDEX(MO_SNA_FPStartDate,0,COLUMN())&amp;","&amp;INDEX(MO_Common_QEndDate,0,COLUMN())&amp;",,,,""PRICE"",""CLOSE"")"),"N/A")</f>
        <v>N/A</v>
      </c>
      <c r="AG795" s="284" t="str">
        <f ca="1">IFERROR(FDS(MO.Ticker.FactSet,"P_PRICE_HIGH"&amp;"("&amp;INDEX(MO_SNA_FPStartDate,0,COLUMN())&amp;","&amp;INDEX(MO_Common_QEndDate,0,COLUMN())&amp;",,,,""PRICE"",""CLOSE"")"),"N/A")</f>
        <v>N/A</v>
      </c>
      <c r="AH795" s="284" t="str">
        <f ca="1">IFERROR(FDS(MO.Ticker.FactSet,"P_PRICE_HIGH"&amp;"("&amp;INDEX(MO_SNA_FPStartDate,0,COLUMN())&amp;","&amp;INDEX(MO_Common_QEndDate,0,COLUMN())&amp;",,,,""PRICE"",""CLOSE"")"),"N/A")</f>
        <v>N/A</v>
      </c>
      <c r="AI795" s="284" t="str">
        <f ca="1">IFERROR(FDS(MO.Ticker.FactSet,"P_PRICE_HIGH"&amp;"("&amp;INDEX(MO_SNA_FPStartDate,0,COLUMN())&amp;","&amp;INDEX(MO_Common_QEndDate,0,COLUMN())&amp;",,,,""PRICE"",""CLOSE"")"),"N/A")</f>
        <v>N/A</v>
      </c>
      <c r="AJ795" s="284" t="str">
        <f ca="1">IFERROR(FDS(MO.Ticker.FactSet,"P_PRICE_HIGH"&amp;"("&amp;INDEX(MO_SNA_FPStartDate,0,COLUMN())&amp;","&amp;INDEX(MO_Common_QEndDate,0,COLUMN())&amp;",,,,""PRICE"",""CLOSE"")"),"N/A")</f>
        <v>N/A</v>
      </c>
      <c r="AK795" s="284" t="str">
        <f ca="1">IFERROR(FDS(MO.Ticker.FactSet,"P_PRICE_HIGH"&amp;"("&amp;INDEX(MO_SNA_FPStartDate,0,COLUMN())&amp;","&amp;INDEX(MO_Common_QEndDate,0,COLUMN())&amp;",,,,""PRICE"",""CLOSE"")"),"N/A")</f>
        <v>N/A</v>
      </c>
      <c r="AL795" s="284" t="str">
        <f ca="1">IFERROR(FDS(MO.Ticker.FactSet,"P_PRICE_HIGH"&amp;"("&amp;INDEX(MO_SNA_FPStartDate,0,COLUMN())&amp;","&amp;INDEX(MO_Common_QEndDate,0,COLUMN())&amp;",,,,""PRICE"",""CLOSE"")"),"N/A")</f>
        <v>N/A</v>
      </c>
      <c r="AM795" s="284" t="str">
        <f ca="1">IFERROR(FDS(MO.Ticker.FactSet,"P_PRICE_HIGH"&amp;"("&amp;INDEX(MO_SNA_FPStartDate,0,COLUMN())&amp;","&amp;INDEX(MO_Common_QEndDate,0,COLUMN())&amp;",,,,""PRICE"",""CLOSE"")"),"N/A")</f>
        <v>N/A</v>
      </c>
      <c r="AN795" s="284" t="str">
        <f ca="1">IFERROR(FDS(MO.Ticker.FactSet,"P_PRICE_HIGH"&amp;"("&amp;INDEX(MO_SNA_FPStartDate,0,COLUMN())&amp;","&amp;INDEX(MO_Common_QEndDate,0,COLUMN())&amp;",,,,""PRICE"",""CLOSE"")"),"N/A")</f>
        <v>N/A</v>
      </c>
      <c r="AO795" s="284" t="str">
        <f ca="1">IFERROR(FDS(MO.Ticker.FactSet,"P_PRICE_HIGH"&amp;"("&amp;INDEX(MO_SNA_FPStartDate,0,COLUMN())&amp;","&amp;INDEX(MO_Common_QEndDate,0,COLUMN())&amp;",,,,""PRICE"",""CLOSE"")"),"N/A")</f>
        <v>N/A</v>
      </c>
      <c r="AP795" s="284" t="str">
        <f ca="1">IFERROR(FDS(MO.Ticker.FactSet,"P_PRICE_HIGH"&amp;"("&amp;INDEX(MO_SNA_FPStartDate,0,COLUMN())&amp;","&amp;INDEX(MO_Common_QEndDate,0,COLUMN())&amp;",,,,""PRICE"",""CLOSE"")"),"N/A")</f>
        <v>N/A</v>
      </c>
      <c r="AQ795" s="284" t="str">
        <f ca="1">IFERROR(FDS(MO.Ticker.FactSet,"P_PRICE_HIGH"&amp;"("&amp;INDEX(MO_SNA_FPStartDate,0,COLUMN())&amp;","&amp;INDEX(MO_Common_QEndDate,0,COLUMN())&amp;",,,,""PRICE"",""CLOSE"")"),"N/A")</f>
        <v>N/A</v>
      </c>
      <c r="AR795" s="284" t="str">
        <f ca="1">IFERROR(FDS(MO.Ticker.FactSet,"P_PRICE_HIGH"&amp;"("&amp;INDEX(MO_SNA_FPStartDate,0,COLUMN())&amp;","&amp;INDEX(MO_Common_QEndDate,0,COLUMN())&amp;",,,,""PRICE"",""CLOSE"")"),"N/A")</f>
        <v>N/A</v>
      </c>
      <c r="AS795" s="284" t="str">
        <f ca="1">IFERROR(FDS(MO.Ticker.FactSet,"P_PRICE_HIGH"&amp;"("&amp;INDEX(MO_SNA_FPStartDate,0,COLUMN())&amp;","&amp;INDEX(MO_Common_QEndDate,0,COLUMN())&amp;",,,,""PRICE"",""CLOSE"")"),"N/A")</f>
        <v>N/A</v>
      </c>
      <c r="AT795" s="284" t="str">
        <f ca="1">IFERROR(FDS(MO.Ticker.FactSet,"P_PRICE_HIGH"&amp;"("&amp;INDEX(MO_SNA_FPStartDate,0,COLUMN())&amp;","&amp;INDEX(MO_Common_QEndDate,0,COLUMN())&amp;",,,,""PRICE"",""CLOSE"")"),"N/A")</f>
        <v>N/A</v>
      </c>
      <c r="AU795" s="284" t="str">
        <f ca="1">IFERROR(FDS(MO.Ticker.FactSet,"P_PRICE_HIGH"&amp;"("&amp;INDEX(MO_SNA_FPStartDate,0,COLUMN())&amp;","&amp;INDEX(MO_Common_QEndDate,0,COLUMN())&amp;",,,,""PRICE"",""CLOSE"")"),"N/A")</f>
        <v>N/A</v>
      </c>
      <c r="AV795" s="284" t="str">
        <f ca="1">IFERROR(FDS(MO.Ticker.FactSet,"P_PRICE_HIGH"&amp;"("&amp;INDEX(MO_SNA_FPStartDate,0,COLUMN())&amp;","&amp;INDEX(MO_Common_QEndDate,0,COLUMN())&amp;",,,,""PRICE"",""CLOSE"")"),"N/A")</f>
        <v>N/A</v>
      </c>
      <c r="AW795" s="284" t="str">
        <f ca="1">IFERROR(FDS(MO.Ticker.FactSet,"P_PRICE_HIGH"&amp;"("&amp;INDEX(MO_SNA_FPStartDate,0,COLUMN())&amp;","&amp;INDEX(MO_Common_QEndDate,0,COLUMN())&amp;",,,,""PRICE"",""CLOSE"")"),"N/A")</f>
        <v>N/A</v>
      </c>
      <c r="AX795" s="284" t="str">
        <f ca="1">IFERROR(FDS(MO.Ticker.FactSet,"P_PRICE_HIGH"&amp;"("&amp;INDEX(MO_SNA_FPStartDate,0,COLUMN())&amp;","&amp;INDEX(MO_Common_QEndDate,0,COLUMN())&amp;",,,,""PRICE"",""CLOSE"")"),"N/A")</f>
        <v>N/A</v>
      </c>
      <c r="AY795" s="284" t="str">
        <f ca="1">IFERROR(FDS(MO.Ticker.FactSet,"P_PRICE_HIGH"&amp;"("&amp;INDEX(MO_SNA_FPStartDate,0,COLUMN())&amp;","&amp;INDEX(MO_Common_QEndDate,0,COLUMN())&amp;",,,,""PRICE"",""CLOSE"")"),"N/A")</f>
        <v>N/A</v>
      </c>
      <c r="AZ795" s="284" t="str">
        <f ca="1">IFERROR(FDS(MO.Ticker.FactSet,"P_PRICE_HIGH"&amp;"("&amp;INDEX(MO_SNA_FPStartDate,0,COLUMN())&amp;","&amp;INDEX(MO_Common_QEndDate,0,COLUMN())&amp;",,,,""PRICE"",""CLOSE"")"),"N/A")</f>
        <v>N/A</v>
      </c>
      <c r="BA795" s="284" t="str">
        <f ca="1">IFERROR(FDS(MO.Ticker.FactSet,"P_PRICE_HIGH"&amp;"("&amp;INDEX(MO_SNA_FPStartDate,0,COLUMN())&amp;","&amp;INDEX(MO_Common_QEndDate,0,COLUMN())&amp;",,,,""PRICE"",""CLOSE"")"),"N/A")</f>
        <v>N/A</v>
      </c>
      <c r="BB795" s="284" t="str">
        <f ca="1">IFERROR(FDS(MO.Ticker.FactSet,"P_PRICE_HIGH"&amp;"("&amp;INDEX(MO_SNA_FPStartDate,0,COLUMN())&amp;","&amp;INDEX(MO_Common_QEndDate,0,COLUMN())&amp;",,,,""PRICE"",""CLOSE"")"),"N/A")</f>
        <v>N/A</v>
      </c>
      <c r="BC795" s="284" t="str">
        <f ca="1">IFERROR(FDS(MO.Ticker.FactSet,"P_PRICE_HIGH"&amp;"("&amp;INDEX(MO_SNA_FPStartDate,0,COLUMN())&amp;","&amp;INDEX(MO_Common_QEndDate,0,COLUMN())&amp;",,,,""PRICE"",""CLOSE"")"),"N/A")</f>
        <v>N/A</v>
      </c>
      <c r="BD795" s="284" t="str">
        <f ca="1">IFERROR(FDS(MO.Ticker.FactSet,"P_PRICE_HIGH"&amp;"("&amp;INDEX(MO_SNA_FPStartDate,0,COLUMN())&amp;","&amp;INDEX(MO_Common_QEndDate,0,COLUMN())&amp;",,,,""PRICE"",""CLOSE"")"),"N/A")</f>
        <v>N/A</v>
      </c>
      <c r="BE795" s="284" t="str">
        <f ca="1">IFERROR(FDS(MO.Ticker.FactSet,"P_PRICE_HIGH"&amp;"("&amp;INDEX(MO_SNA_FPStartDate,0,COLUMN())&amp;","&amp;INDEX(MO_Common_QEndDate,0,COLUMN())&amp;",,,,""PRICE"",""CLOSE"")"),"N/A")</f>
        <v>N/A</v>
      </c>
      <c r="BF795" s="284" t="str">
        <f ca="1">IFERROR(FDS(MO.Ticker.FactSet,"P_PRICE_HIGH"&amp;"("&amp;INDEX(MO_SNA_FPStartDate,0,COLUMN())&amp;","&amp;INDEX(MO_Common_QEndDate,0,COLUMN())&amp;",,,,""PRICE"",""CLOSE"")"),"N/A")</f>
        <v>N/A</v>
      </c>
      <c r="BG795" s="284" t="str">
        <f ca="1">IFERROR(FDS(MO.Ticker.FactSet,"P_PRICE_HIGH"&amp;"("&amp;INDEX(MO_SNA_FPStartDate,0,COLUMN())&amp;","&amp;INDEX(MO_Common_QEndDate,0,COLUMN())&amp;",,,,""PRICE"",""CLOSE"")"),"N/A")</f>
        <v>N/A</v>
      </c>
      <c r="BH795" s="561" t="str">
        <f ca="1">IFERROR(FDS(MO.Ticker.FactSet,"P_PRICE_HIGH"&amp;"("&amp;INDEX(MO_SNA_FPStartDate,0,COLUMN())&amp;","&amp;INDEX(MO_Common_QEndDate,0,COLUMN())&amp;",,,,""PRICE"",""CLOSE"")"),"N/A")</f>
        <v>N/A</v>
      </c>
      <c r="BI795" s="284" t="str">
        <f ca="1">IFERROR(FDS(MO.Ticker.FactSet,"P_PRICE_HIGH"&amp;"("&amp;INDEX(MO_SNA_FPStartDate,0,COLUMN())&amp;","&amp;INDEX(MO_Common_QEndDate,0,COLUMN())&amp;",,,,""PRICE"",""CLOSE"")"),"N/A")</f>
        <v>N/A</v>
      </c>
      <c r="BJ795" s="284" t="str">
        <f ca="1">IFERROR(FDS(MO.Ticker.FactSet,"P_PRICE_HIGH"&amp;"("&amp;INDEX(MO_SNA_FPStartDate,0,COLUMN())&amp;","&amp;INDEX(MO_Common_QEndDate,0,COLUMN())&amp;",,,,""PRICE"",""CLOSE"")"),"N/A")</f>
        <v>N/A</v>
      </c>
      <c r="BK795" s="284" t="str">
        <f ca="1">IFERROR(FDS(MO.Ticker.FactSet,"P_PRICE_HIGH"&amp;"("&amp;INDEX(MO_SNA_FPStartDate,0,COLUMN())&amp;","&amp;INDEX(MO_Common_QEndDate,0,COLUMN())&amp;",,,,""PRICE"",""CLOSE"")"),"N/A")</f>
        <v>N/A</v>
      </c>
      <c r="BL795" s="284" t="str">
        <f ca="1">IFERROR(FDS(MO.Ticker.FactSet,"P_PRICE_HIGH"&amp;"("&amp;INDEX(MO_SNA_FPStartDate,0,COLUMN())&amp;","&amp;INDEX(MO_Common_QEndDate,0,COLUMN())&amp;",,,,""PRICE"",""CLOSE"")"),"N/A")</f>
        <v>N/A</v>
      </c>
      <c r="BM795" s="284" t="str">
        <f ca="1">IFERROR(FDS(MO.Ticker.FactSet,"P_PRICE_HIGH"&amp;"("&amp;INDEX(MO_SNA_FPStartDate,0,COLUMN())&amp;","&amp;INDEX(MO_Common_QEndDate,0,COLUMN())&amp;",,,,""PRICE"",""CLOSE"")"),"N/A")</f>
        <v>N/A</v>
      </c>
      <c r="BN795" s="284" t="str">
        <f ca="1">IFERROR(FDS(MO.Ticker.FactSet,"P_PRICE_HIGH"&amp;"("&amp;INDEX(MO_SNA_FPStartDate,0,COLUMN())&amp;","&amp;INDEX(MO_Common_QEndDate,0,COLUMN())&amp;",,,,""PRICE"",""CLOSE"")"),"N/A")</f>
        <v>N/A</v>
      </c>
      <c r="BO795" s="284" t="str">
        <f ca="1">IFERROR(FDS(MO.Ticker.FactSet,"P_PRICE_HIGH"&amp;"("&amp;INDEX(MO_SNA_FPStartDate,0,COLUMN())&amp;","&amp;INDEX(MO_Common_QEndDate,0,COLUMN())&amp;",,,,""PRICE"",""CLOSE"")"),"N/A")</f>
        <v>N/A</v>
      </c>
      <c r="BP795" s="284" t="str">
        <f ca="1">IFERROR(FDS(MO.Ticker.FactSet,"P_PRICE_HIGH"&amp;"("&amp;INDEX(MO_SNA_FPStartDate,0,COLUMN())&amp;","&amp;INDEX(MO_Common_QEndDate,0,COLUMN())&amp;",,,,""PRICE"",""CLOSE"")"),"N/A")</f>
        <v>N/A</v>
      </c>
      <c r="BQ795" s="284" t="str">
        <f ca="1">IFERROR(FDS(MO.Ticker.FactSet,"P_PRICE_HIGH"&amp;"("&amp;INDEX(MO_SNA_FPStartDate,0,COLUMN())&amp;","&amp;INDEX(MO_Common_QEndDate,0,COLUMN())&amp;",,,,""PRICE"",""CLOSE"")"),"N/A")</f>
        <v>N/A</v>
      </c>
      <c r="BR795" s="286" t="str">
        <f ca="1">IFERROR(FDS(MO.Ticker.FactSet,"P_PRICE_HIGH"&amp;"("&amp;INDEX(MO_SNA_FPStartDate,0,COLUMN())&amp;","&amp;INDEX(MO_Common_QEndDate,0,COLUMN())&amp;",,,,""PRICE"",""CLOSE"")"),"N/A")</f>
        <v>N/A</v>
      </c>
      <c r="BS795" s="348"/>
    </row>
    <row r="796" spans="1:71" s="288" customFormat="1" ht="15" hidden="1" outlineLevel="1">
      <c r="A796" s="289" t="s">
        <v>540</v>
      </c>
      <c r="B796" s="284"/>
      <c r="C796" s="285" t="str">
        <f ca="1">IFERROR(_xll.TR(MO.Ticker.Thomson,"MAX(TR.Pricehigh)","sdate:#1 edate:#2",,INDEX(MO_SNA_FPStartDate,0,COLUMN()),INDEX(MO_Common_QEndDate,0,COLUMN())),"N/A")</f>
        <v>N/A</v>
      </c>
      <c r="D796" s="285" t="str">
        <f ca="1">IFERROR(_xll.TR(MO.Ticker.Thomson,"MAX(TR.Pricehigh)","sdate:#1 edate:#2",,INDEX(MO_SNA_FPStartDate,0,COLUMN()),INDEX(MO_Common_QEndDate,0,COLUMN())),"N/A")</f>
        <v>N/A</v>
      </c>
      <c r="E796" s="284" t="str">
        <f ca="1">IFERROR(_xll.TR(MO.Ticker.Thomson,"MAX(TR.Pricehigh)","sdate:#1 edate:#2",,INDEX(MO_SNA_FPStartDate,0,COLUMN()),INDEX(MO_Common_QEndDate,0,COLUMN())),"N/A")</f>
        <v>N/A</v>
      </c>
      <c r="F796" s="284" t="str">
        <f ca="1">IFERROR(_xll.TR(MO.Ticker.Thomson,"MAX(TR.Pricehigh)","sdate:#1 edate:#2",,INDEX(MO_SNA_FPStartDate,0,COLUMN()),INDEX(MO_Common_QEndDate,0,COLUMN())),"N/A")</f>
        <v>N/A</v>
      </c>
      <c r="G796" s="284" t="str">
        <f ca="1">IFERROR(_xll.TR(MO.Ticker.Thomson,"MAX(TR.Pricehigh)","sdate:#1 edate:#2",,INDEX(MO_SNA_FPStartDate,0,COLUMN()),INDEX(MO_Common_QEndDate,0,COLUMN())),"N/A")</f>
        <v>N/A</v>
      </c>
      <c r="H796" s="284" t="str">
        <f ca="1">IFERROR(_xll.TR(MO.Ticker.Thomson,"MAX(TR.Pricehigh)","sdate:#1 edate:#2",,INDEX(MO_SNA_FPStartDate,0,COLUMN()),INDEX(MO_Common_QEndDate,0,COLUMN())),"N/A")</f>
        <v>N/A</v>
      </c>
      <c r="I796" s="284" t="str">
        <f ca="1">IFERROR(_xll.TR(MO.Ticker.Thomson,"MAX(TR.Pricehigh)","sdate:#1 edate:#2",,INDEX(MO_SNA_FPStartDate,0,COLUMN()),INDEX(MO_Common_QEndDate,0,COLUMN())),"N/A")</f>
        <v>N/A</v>
      </c>
      <c r="J796" s="284" t="str">
        <f ca="1">IFERROR(_xll.TR(MO.Ticker.Thomson,"MAX(TR.Pricehigh)","sdate:#1 edate:#2",,INDEX(MO_SNA_FPStartDate,0,COLUMN()),INDEX(MO_Common_QEndDate,0,COLUMN())),"N/A")</f>
        <v>N/A</v>
      </c>
      <c r="K796" s="284" t="str">
        <f ca="1">IFERROR(_xll.TR(MO.Ticker.Thomson,"MAX(TR.Pricehigh)","sdate:#1 edate:#2",,INDEX(MO_SNA_FPStartDate,0,COLUMN()),INDEX(MO_Common_QEndDate,0,COLUMN())),"N/A")</f>
        <v>N/A</v>
      </c>
      <c r="L796" s="284" t="str">
        <f ca="1">IFERROR(_xll.TR(MO.Ticker.Thomson,"MAX(TR.Pricehigh)","sdate:#1 edate:#2",,INDEX(MO_SNA_FPStartDate,0,COLUMN()),INDEX(MO_Common_QEndDate,0,COLUMN())),"N/A")</f>
        <v>N/A</v>
      </c>
      <c r="M796" s="284" t="str">
        <f ca="1">IFERROR(_xll.TR(MO.Ticker.Thomson,"MAX(TR.Pricehigh)","sdate:#1 edate:#2",,INDEX(MO_SNA_FPStartDate,0,COLUMN()),INDEX(MO_Common_QEndDate,0,COLUMN())),"N/A")</f>
        <v>N/A</v>
      </c>
      <c r="N796" s="284" t="str">
        <f ca="1">IFERROR(_xll.TR(MO.Ticker.Thomson,"MAX(TR.Pricehigh)","sdate:#1 edate:#2",,INDEX(MO_SNA_FPStartDate,0,COLUMN()),INDEX(MO_Common_QEndDate,0,COLUMN())),"N/A")</f>
        <v>N/A</v>
      </c>
      <c r="O796" s="284" t="str">
        <f ca="1">IFERROR(_xll.TR(MO.Ticker.Thomson,"MAX(TR.Pricehigh)","sdate:#1 edate:#2",,INDEX(MO_SNA_FPStartDate,0,COLUMN()),INDEX(MO_Common_QEndDate,0,COLUMN())),"N/A")</f>
        <v>N/A</v>
      </c>
      <c r="P796" s="284" t="str">
        <f ca="1">IFERROR(_xll.TR(MO.Ticker.Thomson,"MAX(TR.Pricehigh)","sdate:#1 edate:#2",,INDEX(MO_SNA_FPStartDate,0,COLUMN()),INDEX(MO_Common_QEndDate,0,COLUMN())),"N/A")</f>
        <v>N/A</v>
      </c>
      <c r="Q796" s="284" t="str">
        <f ca="1">IFERROR(_xll.TR(MO.Ticker.Thomson,"MAX(TR.Pricehigh)","sdate:#1 edate:#2",,INDEX(MO_SNA_FPStartDate,0,COLUMN()),INDEX(MO_Common_QEndDate,0,COLUMN())),"N/A")</f>
        <v>N/A</v>
      </c>
      <c r="R796" s="284" t="str">
        <f ca="1">IFERROR(_xll.TR(MO.Ticker.Thomson,"MAX(TR.Pricehigh)","sdate:#1 edate:#2",,INDEX(MO_SNA_FPStartDate,0,COLUMN()),INDEX(MO_Common_QEndDate,0,COLUMN())),"N/A")</f>
        <v>N/A</v>
      </c>
      <c r="S796" s="284" t="str">
        <f ca="1">IFERROR(_xll.TR(MO.Ticker.Thomson,"MAX(TR.Pricehigh)","sdate:#1 edate:#2",,INDEX(MO_SNA_FPStartDate,0,COLUMN()),INDEX(MO_Common_QEndDate,0,COLUMN())),"N/A")</f>
        <v>N/A</v>
      </c>
      <c r="T796" s="284" t="str">
        <f ca="1">IFERROR(_xll.TR(MO.Ticker.Thomson,"MAX(TR.Pricehigh)","sdate:#1 edate:#2",,INDEX(MO_SNA_FPStartDate,0,COLUMN()),INDEX(MO_Common_QEndDate,0,COLUMN())),"N/A")</f>
        <v>N/A</v>
      </c>
      <c r="U796" s="284" t="str">
        <f ca="1">IFERROR(_xll.TR(MO.Ticker.Thomson,"MAX(TR.Pricehigh)","sdate:#1 edate:#2",,INDEX(MO_SNA_FPStartDate,0,COLUMN()),INDEX(MO_Common_QEndDate,0,COLUMN())),"N/A")</f>
        <v>N/A</v>
      </c>
      <c r="V796" s="284" t="str">
        <f ca="1">IFERROR(_xll.TR(MO.Ticker.Thomson,"MAX(TR.Pricehigh)","sdate:#1 edate:#2",,INDEX(MO_SNA_FPStartDate,0,COLUMN()),INDEX(MO_Common_QEndDate,0,COLUMN())),"N/A")</f>
        <v>N/A</v>
      </c>
      <c r="W796" s="284" t="str">
        <f ca="1">IFERROR(_xll.TR(MO.Ticker.Thomson,"MAX(TR.Pricehigh)","sdate:#1 edate:#2",,INDEX(MO_SNA_FPStartDate,0,COLUMN()),INDEX(MO_Common_QEndDate,0,COLUMN())),"N/A")</f>
        <v>N/A</v>
      </c>
      <c r="X796" s="284" t="str">
        <f ca="1">IFERROR(_xll.TR(MO.Ticker.Thomson,"MAX(TR.Pricehigh)","sdate:#1 edate:#2",,INDEX(MO_SNA_FPStartDate,0,COLUMN()),INDEX(MO_Common_QEndDate,0,COLUMN())),"N/A")</f>
        <v>N/A</v>
      </c>
      <c r="Y796" s="284" t="str">
        <f ca="1">IFERROR(_xll.TR(MO.Ticker.Thomson,"MAX(TR.Pricehigh)","sdate:#1 edate:#2",,INDEX(MO_SNA_FPStartDate,0,COLUMN()),INDEX(MO_Common_QEndDate,0,COLUMN())),"N/A")</f>
        <v>N/A</v>
      </c>
      <c r="Z796" s="284" t="str">
        <f ca="1">IFERROR(_xll.TR(MO.Ticker.Thomson,"MAX(TR.Pricehigh)","sdate:#1 edate:#2",,INDEX(MO_SNA_FPStartDate,0,COLUMN()),INDEX(MO_Common_QEndDate,0,COLUMN())),"N/A")</f>
        <v>N/A</v>
      </c>
      <c r="AA796" s="284" t="str">
        <f ca="1">IFERROR(_xll.TR(MO.Ticker.Thomson,"MAX(TR.Pricehigh)","sdate:#1 edate:#2",,INDEX(MO_SNA_FPStartDate,0,COLUMN()),INDEX(MO_Common_QEndDate,0,COLUMN())),"N/A")</f>
        <v>N/A</v>
      </c>
      <c r="AB796" s="284" t="str">
        <f ca="1">IFERROR(_xll.TR(MO.Ticker.Thomson,"MAX(TR.Pricehigh)","sdate:#1 edate:#2",,INDEX(MO_SNA_FPStartDate,0,COLUMN()),INDEX(MO_Common_QEndDate,0,COLUMN())),"N/A")</f>
        <v>N/A</v>
      </c>
      <c r="AC796" s="284" t="str">
        <f ca="1">IFERROR(_xll.TR(MO.Ticker.Thomson,"MAX(TR.Pricehigh)","sdate:#1 edate:#2",,INDEX(MO_SNA_FPStartDate,0,COLUMN()),INDEX(MO_Common_QEndDate,0,COLUMN())),"N/A")</f>
        <v>N/A</v>
      </c>
      <c r="AD796" s="284" t="str">
        <f ca="1">IFERROR(_xll.TR(MO.Ticker.Thomson,"MAX(TR.Pricehigh)","sdate:#1 edate:#2",,INDEX(MO_SNA_FPStartDate,0,COLUMN()),INDEX(MO_Common_QEndDate,0,COLUMN())),"N/A")</f>
        <v>N/A</v>
      </c>
      <c r="AE796" s="284" t="str">
        <f ca="1">IFERROR(_xll.TR(MO.Ticker.Thomson,"MAX(TR.Pricehigh)","sdate:#1 edate:#2",,INDEX(MO_SNA_FPStartDate,0,COLUMN()),INDEX(MO_Common_QEndDate,0,COLUMN())),"N/A")</f>
        <v>N/A</v>
      </c>
      <c r="AF796" s="284" t="str">
        <f ca="1">IFERROR(_xll.TR(MO.Ticker.Thomson,"MAX(TR.Pricehigh)","sdate:#1 edate:#2",,INDEX(MO_SNA_FPStartDate,0,COLUMN()),INDEX(MO_Common_QEndDate,0,COLUMN())),"N/A")</f>
        <v>N/A</v>
      </c>
      <c r="AG796" s="284" t="str">
        <f ca="1">IFERROR(_xll.TR(MO.Ticker.Thomson,"MAX(TR.Pricehigh)","sdate:#1 edate:#2",,INDEX(MO_SNA_FPStartDate,0,COLUMN()),INDEX(MO_Common_QEndDate,0,COLUMN())),"N/A")</f>
        <v>N/A</v>
      </c>
      <c r="AH796" s="284" t="str">
        <f ca="1">IFERROR(_xll.TR(MO.Ticker.Thomson,"MAX(TR.Pricehigh)","sdate:#1 edate:#2",,INDEX(MO_SNA_FPStartDate,0,COLUMN()),INDEX(MO_Common_QEndDate,0,COLUMN())),"N/A")</f>
        <v>N/A</v>
      </c>
      <c r="AI796" s="284" t="str">
        <f ca="1">IFERROR(_xll.TR(MO.Ticker.Thomson,"MAX(TR.Pricehigh)","sdate:#1 edate:#2",,INDEX(MO_SNA_FPStartDate,0,COLUMN()),INDEX(MO_Common_QEndDate,0,COLUMN())),"N/A")</f>
        <v>N/A</v>
      </c>
      <c r="AJ796" s="284" t="str">
        <f ca="1">IFERROR(_xll.TR(MO.Ticker.Thomson,"MAX(TR.Pricehigh)","sdate:#1 edate:#2",,INDEX(MO_SNA_FPStartDate,0,COLUMN()),INDEX(MO_Common_QEndDate,0,COLUMN())),"N/A")</f>
        <v>N/A</v>
      </c>
      <c r="AK796" s="284" t="str">
        <f ca="1">IFERROR(_xll.TR(MO.Ticker.Thomson,"MAX(TR.Pricehigh)","sdate:#1 edate:#2",,INDEX(MO_SNA_FPStartDate,0,COLUMN()),INDEX(MO_Common_QEndDate,0,COLUMN())),"N/A")</f>
        <v>N/A</v>
      </c>
      <c r="AL796" s="284" t="str">
        <f ca="1">IFERROR(_xll.TR(MO.Ticker.Thomson,"MAX(TR.Pricehigh)","sdate:#1 edate:#2",,INDEX(MO_SNA_FPStartDate,0,COLUMN()),INDEX(MO_Common_QEndDate,0,COLUMN())),"N/A")</f>
        <v>N/A</v>
      </c>
      <c r="AM796" s="284" t="str">
        <f ca="1">IFERROR(_xll.TR(MO.Ticker.Thomson,"MAX(TR.Pricehigh)","sdate:#1 edate:#2",,INDEX(MO_SNA_FPStartDate,0,COLUMN()),INDEX(MO_Common_QEndDate,0,COLUMN())),"N/A")</f>
        <v>N/A</v>
      </c>
      <c r="AN796" s="284" t="str">
        <f ca="1">IFERROR(_xll.TR(MO.Ticker.Thomson,"MAX(TR.Pricehigh)","sdate:#1 edate:#2",,INDEX(MO_SNA_FPStartDate,0,COLUMN()),INDEX(MO_Common_QEndDate,0,COLUMN())),"N/A")</f>
        <v>N/A</v>
      </c>
      <c r="AO796" s="284" t="str">
        <f ca="1">IFERROR(_xll.TR(MO.Ticker.Thomson,"MAX(TR.Pricehigh)","sdate:#1 edate:#2",,INDEX(MO_SNA_FPStartDate,0,COLUMN()),INDEX(MO_Common_QEndDate,0,COLUMN())),"N/A")</f>
        <v>N/A</v>
      </c>
      <c r="AP796" s="284" t="str">
        <f ca="1">IFERROR(_xll.TR(MO.Ticker.Thomson,"MAX(TR.Pricehigh)","sdate:#1 edate:#2",,INDEX(MO_SNA_FPStartDate,0,COLUMN()),INDEX(MO_Common_QEndDate,0,COLUMN())),"N/A")</f>
        <v>N/A</v>
      </c>
      <c r="AQ796" s="284" t="str">
        <f ca="1">IFERROR(_xll.TR(MO.Ticker.Thomson,"MAX(TR.Pricehigh)","sdate:#1 edate:#2",,INDEX(MO_SNA_FPStartDate,0,COLUMN()),INDEX(MO_Common_QEndDate,0,COLUMN())),"N/A")</f>
        <v>N/A</v>
      </c>
      <c r="AR796" s="284" t="str">
        <f ca="1">IFERROR(_xll.TR(MO.Ticker.Thomson,"MAX(TR.Pricehigh)","sdate:#1 edate:#2",,INDEX(MO_SNA_FPStartDate,0,COLUMN()),INDEX(MO_Common_QEndDate,0,COLUMN())),"N/A")</f>
        <v>N/A</v>
      </c>
      <c r="AS796" s="284" t="str">
        <f ca="1">IFERROR(_xll.TR(MO.Ticker.Thomson,"MAX(TR.Pricehigh)","sdate:#1 edate:#2",,INDEX(MO_SNA_FPStartDate,0,COLUMN()),INDEX(MO_Common_QEndDate,0,COLUMN())),"N/A")</f>
        <v>N/A</v>
      </c>
      <c r="AT796" s="284" t="str">
        <f ca="1">IFERROR(_xll.TR(MO.Ticker.Thomson,"MAX(TR.Pricehigh)","sdate:#1 edate:#2",,INDEX(MO_SNA_FPStartDate,0,COLUMN()),INDEX(MO_Common_QEndDate,0,COLUMN())),"N/A")</f>
        <v>N/A</v>
      </c>
      <c r="AU796" s="284" t="str">
        <f ca="1">IFERROR(_xll.TR(MO.Ticker.Thomson,"MAX(TR.Pricehigh)","sdate:#1 edate:#2",,INDEX(MO_SNA_FPStartDate,0,COLUMN()),INDEX(MO_Common_QEndDate,0,COLUMN())),"N/A")</f>
        <v>N/A</v>
      </c>
      <c r="AV796" s="284" t="str">
        <f ca="1">IFERROR(_xll.TR(MO.Ticker.Thomson,"MAX(TR.Pricehigh)","sdate:#1 edate:#2",,INDEX(MO_SNA_FPStartDate,0,COLUMN()),INDEX(MO_Common_QEndDate,0,COLUMN())),"N/A")</f>
        <v>N/A</v>
      </c>
      <c r="AW796" s="284" t="str">
        <f ca="1">IFERROR(_xll.TR(MO.Ticker.Thomson,"MAX(TR.Pricehigh)","sdate:#1 edate:#2",,INDEX(MO_SNA_FPStartDate,0,COLUMN()),INDEX(MO_Common_QEndDate,0,COLUMN())),"N/A")</f>
        <v>N/A</v>
      </c>
      <c r="AX796" s="284" t="str">
        <f ca="1">IFERROR(_xll.TR(MO.Ticker.Thomson,"MAX(TR.Pricehigh)","sdate:#1 edate:#2",,INDEX(MO_SNA_FPStartDate,0,COLUMN()),INDEX(MO_Common_QEndDate,0,COLUMN())),"N/A")</f>
        <v>N/A</v>
      </c>
      <c r="AY796" s="284" t="str">
        <f ca="1">IFERROR(_xll.TR(MO.Ticker.Thomson,"MAX(TR.Pricehigh)","sdate:#1 edate:#2",,INDEX(MO_SNA_FPStartDate,0,COLUMN()),INDEX(MO_Common_QEndDate,0,COLUMN())),"N/A")</f>
        <v>N/A</v>
      </c>
      <c r="AZ796" s="284" t="str">
        <f ca="1">IFERROR(_xll.TR(MO.Ticker.Thomson,"MAX(TR.Pricehigh)","sdate:#1 edate:#2",,INDEX(MO_SNA_FPStartDate,0,COLUMN()),INDEX(MO_Common_QEndDate,0,COLUMN())),"N/A")</f>
        <v>N/A</v>
      </c>
      <c r="BA796" s="284" t="str">
        <f ca="1">IFERROR(_xll.TR(MO.Ticker.Thomson,"MAX(TR.Pricehigh)","sdate:#1 edate:#2",,INDEX(MO_SNA_FPStartDate,0,COLUMN()),INDEX(MO_Common_QEndDate,0,COLUMN())),"N/A")</f>
        <v>N/A</v>
      </c>
      <c r="BB796" s="284" t="str">
        <f ca="1">IFERROR(_xll.TR(MO.Ticker.Thomson,"MAX(TR.Pricehigh)","sdate:#1 edate:#2",,INDEX(MO_SNA_FPStartDate,0,COLUMN()),INDEX(MO_Common_QEndDate,0,COLUMN())),"N/A")</f>
        <v>N/A</v>
      </c>
      <c r="BC796" s="284" t="str">
        <f ca="1">IFERROR(_xll.TR(MO.Ticker.Thomson,"MAX(TR.Pricehigh)","sdate:#1 edate:#2",,INDEX(MO_SNA_FPStartDate,0,COLUMN()),INDEX(MO_Common_QEndDate,0,COLUMN())),"N/A")</f>
        <v>N/A</v>
      </c>
      <c r="BD796" s="284" t="str">
        <f ca="1">IFERROR(_xll.TR(MO.Ticker.Thomson,"MAX(TR.Pricehigh)","sdate:#1 edate:#2",,INDEX(MO_SNA_FPStartDate,0,COLUMN()),INDEX(MO_Common_QEndDate,0,COLUMN())),"N/A")</f>
        <v>N/A</v>
      </c>
      <c r="BE796" s="284" t="str">
        <f ca="1">IFERROR(_xll.TR(MO.Ticker.Thomson,"MAX(TR.Pricehigh)","sdate:#1 edate:#2",,INDEX(MO_SNA_FPStartDate,0,COLUMN()),INDEX(MO_Common_QEndDate,0,COLUMN())),"N/A")</f>
        <v>N/A</v>
      </c>
      <c r="BF796" s="284" t="str">
        <f ca="1">IFERROR(_xll.TR(MO.Ticker.Thomson,"MAX(TR.Pricehigh)","sdate:#1 edate:#2",,INDEX(MO_SNA_FPStartDate,0,COLUMN()),INDEX(MO_Common_QEndDate,0,COLUMN())),"N/A")</f>
        <v>N/A</v>
      </c>
      <c r="BG796" s="284" t="str">
        <f ca="1">IFERROR(_xll.TR(MO.Ticker.Thomson,"MAX(TR.Pricehigh)","sdate:#1 edate:#2",,INDEX(MO_SNA_FPStartDate,0,COLUMN()),INDEX(MO_Common_QEndDate,0,COLUMN())),"N/A")</f>
        <v>N/A</v>
      </c>
      <c r="BH796" s="561" t="str">
        <f ca="1">IFERROR(_xll.TR(MO.Ticker.Thomson,"MAX(TR.Pricehigh)","sdate:#1 edate:#2",,INDEX(MO_SNA_FPStartDate,0,COLUMN()),INDEX(MO_Common_QEndDate,0,COLUMN())),"N/A")</f>
        <v>N/A</v>
      </c>
      <c r="BI796" s="284" t="str">
        <f ca="1">IFERROR(_xll.TR(MO.Ticker.Thomson,"MAX(TR.Pricehigh)","sdate:#1 edate:#2",,INDEX(MO_SNA_FPStartDate,0,COLUMN()),INDEX(MO_Common_QEndDate,0,COLUMN())),"N/A")</f>
        <v>N/A</v>
      </c>
      <c r="BJ796" s="284" t="str">
        <f ca="1">IFERROR(_xll.TR(MO.Ticker.Thomson,"MAX(TR.Pricehigh)","sdate:#1 edate:#2",,INDEX(MO_SNA_FPStartDate,0,COLUMN()),INDEX(MO_Common_QEndDate,0,COLUMN())),"N/A")</f>
        <v>N/A</v>
      </c>
      <c r="BK796" s="284" t="str">
        <f ca="1">IFERROR(_xll.TR(MO.Ticker.Thomson,"MAX(TR.Pricehigh)","sdate:#1 edate:#2",,INDEX(MO_SNA_FPStartDate,0,COLUMN()),INDEX(MO_Common_QEndDate,0,COLUMN())),"N/A")</f>
        <v>N/A</v>
      </c>
      <c r="BL796" s="284" t="str">
        <f ca="1">IFERROR(_xll.TR(MO.Ticker.Thomson,"MAX(TR.Pricehigh)","sdate:#1 edate:#2",,INDEX(MO_SNA_FPStartDate,0,COLUMN()),INDEX(MO_Common_QEndDate,0,COLUMN())),"N/A")</f>
        <v>N/A</v>
      </c>
      <c r="BM796" s="284" t="str">
        <f ca="1">IFERROR(_xll.TR(MO.Ticker.Thomson,"MAX(TR.Pricehigh)","sdate:#1 edate:#2",,INDEX(MO_SNA_FPStartDate,0,COLUMN()),INDEX(MO_Common_QEndDate,0,COLUMN())),"N/A")</f>
        <v>N/A</v>
      </c>
      <c r="BN796" s="284" t="str">
        <f ca="1">IFERROR(_xll.TR(MO.Ticker.Thomson,"MAX(TR.Pricehigh)","sdate:#1 edate:#2",,INDEX(MO_SNA_FPStartDate,0,COLUMN()),INDEX(MO_Common_QEndDate,0,COLUMN())),"N/A")</f>
        <v>N/A</v>
      </c>
      <c r="BO796" s="284" t="str">
        <f ca="1">IFERROR(_xll.TR(MO.Ticker.Thomson,"MAX(TR.Pricehigh)","sdate:#1 edate:#2",,INDEX(MO_SNA_FPStartDate,0,COLUMN()),INDEX(MO_Common_QEndDate,0,COLUMN())),"N/A")</f>
        <v>N/A</v>
      </c>
      <c r="BP796" s="284" t="str">
        <f ca="1">IFERROR(_xll.TR(MO.Ticker.Thomson,"MAX(TR.Pricehigh)","sdate:#1 edate:#2",,INDEX(MO_SNA_FPStartDate,0,COLUMN()),INDEX(MO_Common_QEndDate,0,COLUMN())),"N/A")</f>
        <v>N/A</v>
      </c>
      <c r="BQ796" s="284" t="str">
        <f ca="1">IFERROR(_xll.TR(MO.Ticker.Thomson,"MAX(TR.Pricehigh)","sdate:#1 edate:#2",,INDEX(MO_SNA_FPStartDate,0,COLUMN()),INDEX(MO_Common_QEndDate,0,COLUMN())),"N/A")</f>
        <v>N/A</v>
      </c>
      <c r="BR796" s="286" t="str">
        <f ca="1">IFERROR(_xll.TR(MO.Ticker.Thomson,"MAX(TR.Pricehigh)","sdate:#1 edate:#2",,INDEX(MO_SNA_FPStartDate,0,COLUMN()),INDEX(MO_Common_QEndDate,0,COLUMN())),"N/A")</f>
        <v>N/A</v>
      </c>
      <c r="BS796" s="348"/>
    </row>
    <row r="797" spans="1:71" s="24" customFormat="1" ht="15" hidden="1" outlineLevel="1">
      <c r="A797" s="259"/>
      <c r="B797" s="828"/>
      <c r="C797" s="277"/>
      <c r="D797" s="277"/>
      <c r="E797" s="828"/>
      <c r="F797" s="828"/>
      <c r="G797" s="828"/>
      <c r="H797" s="828"/>
      <c r="I797" s="828"/>
      <c r="J797" s="828"/>
      <c r="K797" s="828"/>
      <c r="L797" s="828"/>
      <c r="M797" s="828"/>
      <c r="N797" s="828"/>
      <c r="O797" s="828"/>
      <c r="P797" s="828"/>
      <c r="Q797" s="828"/>
      <c r="R797" s="828"/>
      <c r="S797" s="828"/>
      <c r="T797" s="828"/>
      <c r="U797" s="828"/>
      <c r="V797" s="828"/>
      <c r="W797" s="828"/>
      <c r="X797" s="828"/>
      <c r="Y797" s="828"/>
      <c r="Z797" s="828"/>
      <c r="AA797" s="828"/>
      <c r="AB797" s="828"/>
      <c r="AC797" s="828"/>
      <c r="AD797" s="828"/>
      <c r="AE797" s="828"/>
      <c r="AF797" s="828"/>
      <c r="AG797" s="828"/>
      <c r="AH797" s="828"/>
      <c r="AI797" s="828"/>
      <c r="AJ797" s="828"/>
      <c r="AK797" s="828"/>
      <c r="AL797" s="828"/>
      <c r="AM797" s="828"/>
      <c r="AN797" s="828"/>
      <c r="AO797" s="828"/>
      <c r="AP797" s="828"/>
      <c r="AQ797" s="828"/>
      <c r="AR797" s="828"/>
      <c r="AS797" s="828"/>
      <c r="AT797" s="828"/>
      <c r="AU797" s="828"/>
      <c r="AV797" s="828"/>
      <c r="AW797" s="828"/>
      <c r="AX797" s="828"/>
      <c r="AY797" s="828"/>
      <c r="AZ797" s="828"/>
      <c r="BA797" s="828"/>
      <c r="BB797" s="828"/>
      <c r="BC797" s="828"/>
      <c r="BD797" s="828"/>
      <c r="BE797" s="828"/>
      <c r="BF797" s="828"/>
      <c r="BG797" s="828"/>
      <c r="BH797" s="829"/>
      <c r="BI797" s="828"/>
      <c r="BJ797" s="828"/>
      <c r="BK797" s="828"/>
      <c r="BL797" s="828"/>
      <c r="BM797" s="828"/>
      <c r="BN797" s="828"/>
      <c r="BO797" s="828"/>
      <c r="BP797" s="828"/>
      <c r="BQ797" s="828"/>
      <c r="BR797" s="258"/>
      <c r="BS797" s="345"/>
    </row>
    <row r="798" spans="1:71" s="288" customFormat="1" ht="15" collapsed="1">
      <c r="A798" s="283" t="str">
        <f ca="1">"Stock Low: "&amp;IF(OR(MO.RealTimeStockPriceToggle=FALSE,VLOOKUP(MO.DataSourceName,MO_SPT_StockLow_Sources,COLUMN()+2,FALSE)="N/A"),"Real-Time Off Source",MO.DataSourceName)</f>
        <v>Stock Low: Real-Time Off Source</v>
      </c>
      <c r="B798" s="284"/>
      <c r="C798" s="285">
        <f ca="1" t="shared" si="1480" ref="C798:AQ798">IF(OR(MO.RealTimeStockPriceToggle=FALSE,VLOOKUP(MO.DataSourceName,MO_SPT_StockLow_Sources,COLUMN(),FALSE)="N/A"),VLOOKUP("Real-Time Off Source",MO_SPT_StockLow_Sources,COLUMN(),FALSE),VLOOKUP(MO.DataSourceName,MO_SPT_StockLow_Sources,COLUMN(),FALSE))</f>
        <v>33.520000000000003</v>
      </c>
      <c r="D798" s="285">
        <f t="shared" ca="1" si="1480"/>
        <v>47.94</v>
      </c>
      <c r="E798" s="284">
        <f t="shared" ca="1" si="1480"/>
        <v>46.80</v>
      </c>
      <c r="F798" s="284">
        <f t="shared" ca="1" si="1480"/>
        <v>56.87</v>
      </c>
      <c r="G798" s="284">
        <f t="shared" ca="1" si="1480"/>
        <v>72.86</v>
      </c>
      <c r="H798" s="284">
        <f t="shared" ca="1" si="1480"/>
        <v>80.260000000000005</v>
      </c>
      <c r="I798" s="284">
        <f t="shared" ca="1" si="1480"/>
        <v>84.39</v>
      </c>
      <c r="J798" s="284">
        <f t="shared" ca="1" si="1480"/>
        <v>89.12</v>
      </c>
      <c r="K798" s="284">
        <f t="shared" ca="1" si="1480"/>
        <v>91.81</v>
      </c>
      <c r="L798" s="284">
        <f t="shared" ca="1" si="1480"/>
        <v>80.260000000000005</v>
      </c>
      <c r="M798" s="284">
        <f t="shared" ca="1" si="1480"/>
        <v>102.81999999999999</v>
      </c>
      <c r="N798" s="284">
        <f t="shared" ca="1" si="1480"/>
        <v>96.14</v>
      </c>
      <c r="O798" s="284">
        <f t="shared" ca="1" si="1480"/>
        <v>97.49</v>
      </c>
      <c r="P798" s="284">
        <f t="shared" ca="1" si="1480"/>
        <v>98.34</v>
      </c>
      <c r="Q798" s="284">
        <f t="shared" ca="1" si="1480"/>
        <v>96.14</v>
      </c>
      <c r="R798" s="284">
        <f t="shared" ca="1" si="1480"/>
        <v>102.08</v>
      </c>
      <c r="S798" s="284">
        <f t="shared" ca="1" si="1480"/>
        <v>108.79000000000001</v>
      </c>
      <c r="T798" s="284">
        <f t="shared" ca="1" si="1480"/>
        <v>113.70999999999999</v>
      </c>
      <c r="U798" s="284">
        <f t="shared" ca="1" si="1480"/>
        <v>104.67</v>
      </c>
      <c r="V798" s="284">
        <f t="shared" ca="1" si="1480"/>
        <v>102.08</v>
      </c>
      <c r="W798" s="284">
        <f t="shared" ca="1" si="1480"/>
        <v>116.54000000000001</v>
      </c>
      <c r="X798" s="284">
        <f t="shared" ca="1" si="1480"/>
        <v>118.88</v>
      </c>
      <c r="Y798" s="284">
        <f t="shared" ca="1" si="1480"/>
        <v>115.18000000000001</v>
      </c>
      <c r="Z798" s="284">
        <f t="shared" ca="1" si="1480"/>
        <v>123.31999999999999</v>
      </c>
      <c r="AA798" s="284">
        <f t="shared" ca="1" si="1480"/>
        <v>115.18000000000001</v>
      </c>
      <c r="AB798" s="284">
        <f t="shared" ca="1" si="1480"/>
        <v>128.43809999999999</v>
      </c>
      <c r="AC798" s="284">
        <f t="shared" ca="1" si="1480"/>
        <v>119.8946</v>
      </c>
      <c r="AD798" s="284">
        <f t="shared" ca="1" si="1480"/>
        <v>120.932</v>
      </c>
      <c r="AE798" s="284">
        <f t="shared" ca="1" si="1480"/>
        <v>112.63</v>
      </c>
      <c r="AF798" s="284">
        <f t="shared" ca="1" si="1480"/>
        <v>112.63</v>
      </c>
      <c r="AG798" s="284">
        <f t="shared" ca="1" si="1480"/>
        <v>115.26000000000001</v>
      </c>
      <c r="AH798" s="284">
        <f t="shared" ca="1" si="1480"/>
        <v>135.19</v>
      </c>
      <c r="AI798" s="284">
        <f t="shared" ca="1" si="1480"/>
        <v>143.47999999999999</v>
      </c>
      <c r="AJ798" s="284">
        <f t="shared" ca="1" si="1480"/>
        <v>128.93000000000001</v>
      </c>
      <c r="AK798" s="284">
        <f t="shared" ca="1" si="1480"/>
        <v>115.26000000000001</v>
      </c>
      <c r="AL798" s="284">
        <f t="shared" ca="1" si="1480"/>
        <v>81.69</v>
      </c>
      <c r="AM798" s="284">
        <f t="shared" ca="1" si="1480"/>
        <v>89.86</v>
      </c>
      <c r="AN798" s="284">
        <f ca="1">IF(OR(MO.RealTimeStockPriceToggle=FALSE,VLOOKUP(MO.DataSourceName,MO_SPT_StockLow_Sources,COLUMN(),FALSE)="N/A"),VLOOKUP("Real-Time Off Source",MO_SPT_StockLow_Sources,COLUMN(),FALSE),VLOOKUP(MO.DataSourceName,MO_SPT_StockLow_Sources,COLUMN(),FALSE))</f>
        <v>107.44</v>
      </c>
      <c r="AO798" s="284">
        <f t="shared" ca="1" si="1480"/>
        <v>107.81</v>
      </c>
      <c r="AP798" s="284">
        <f t="shared" ca="1" si="1480"/>
        <v>81.69</v>
      </c>
      <c r="AQ798" s="284">
        <f t="shared" ca="1" si="1480"/>
        <v>134.53</v>
      </c>
      <c r="AR798" s="284">
        <f ca="1" t="shared" si="1481" ref="AR798:AW798">IF(OR(MO.RealTimeStockPriceToggle=FALSE,VLOOKUP(MO.DataSourceName,MO_SPT_StockLow_Sources,COLUMN(),FALSE)="N/A"),VLOOKUP("Real-Time Off Source",MO_SPT_StockLow_Sources,COLUMN(),FALSE),VLOOKUP(MO.DataSourceName,MO_SPT_StockLow_Sources,COLUMN(),FALSE))</f>
        <v>144.75999999999999</v>
      </c>
      <c r="AS798" s="284">
        <f t="shared" ca="1" si="1481"/>
        <v>146.81999999999999</v>
      </c>
      <c r="AT798" s="284">
        <f t="shared" ca="1" si="1481"/>
        <v>145.47999999999999</v>
      </c>
      <c r="AU798" s="284">
        <f t="shared" ca="1" si="1481"/>
        <v>134.53</v>
      </c>
      <c r="AV798" s="284">
        <f t="shared" ca="1" si="1481"/>
        <v>155.75</v>
      </c>
      <c r="AW798" s="284">
        <f t="shared" ca="1" si="1481"/>
        <v>159.77000000000001</v>
      </c>
      <c r="AX798" s="284">
        <f ca="1" t="shared" si="1482" ref="AX798:BJ798">IF(OR(MO.RealTimeStockPriceToggle=FALSE,VLOOKUP(MO.DataSourceName,MO_SPT_StockLow_Sources,COLUMN(),FALSE)="N/A"),VLOOKUP("Real-Time Off Source",MO_SPT_StockLow_Sources,COLUMN(),FALSE),VLOOKUP(MO.DataSourceName,MO_SPT_StockLow_Sources,COLUMN(),FALSE))</f>
        <v>150.59999999999999</v>
      </c>
      <c r="AY798" s="284">
        <f t="shared" ca="1" si="1482"/>
        <v>156.88</v>
      </c>
      <c r="AZ798" s="284">
        <f t="shared" ca="1" si="1482"/>
        <v>150.59999999999999</v>
      </c>
      <c r="BA798" s="284">
        <f ca="1" t="shared" si="1483" ref="BA798:BI798">IF(OR(MO.RealTimeStockPriceToggle=FALSE,VLOOKUP(MO.DataSourceName,MO_SPT_StockLow_Sources,COLUMN(),FALSE)="N/A"),VLOOKUP("Real-Time Off Source",MO_SPT_StockLow_Sources,COLUMN(),FALSE),VLOOKUP(MO.DataSourceName,MO_SPT_StockLow_Sources,COLUMN(),FALSE))</f>
        <v>163.86</v>
      </c>
      <c r="BB798" s="284">
        <f t="shared" ca="1" si="1483"/>
        <v>168.37</v>
      </c>
      <c r="BC798" s="284">
        <f t="shared" ca="1" si="1483"/>
        <v>159.88999999999999</v>
      </c>
      <c r="BD798" s="284">
        <f t="shared" ca="1" si="1483"/>
        <v>157.91999999999999</v>
      </c>
      <c r="BE798" s="284">
        <f t="shared" ca="1" si="1483"/>
        <v>157.91999999999999</v>
      </c>
      <c r="BF798" s="284">
        <f ca="1">IF(OR(MO.RealTimeStockPriceToggle=FALSE,VLOOKUP(MO.DataSourceName,MO_SPT_StockLow_Sources,COLUMN(),FALSE)="N/A"),VLOOKUP("Real-Time Off Source",MO_SPT_StockLow_Sources,COLUMN(),FALSE),VLOOKUP(MO.DataSourceName,MO_SPT_StockLow_Sources,COLUMN(),FALSE))</f>
        <v>191.30</v>
      </c>
      <c r="BG798" s="284">
        <f ca="1">IF(OR(MO.RealTimeStockPriceToggle=FALSE,VLOOKUP(MO.DataSourceName,MO_SPT_StockLow_Sources,COLUMN(),FALSE)="N/A"),VLOOKUP("Real-Time Off Source",MO_SPT_StockLow_Sources,COLUMN(),FALSE),VLOOKUP(MO.DataSourceName,MO_SPT_StockLow_Sources,COLUMN(),FALSE))</f>
        <v>203.34</v>
      </c>
      <c r="BH798" s="561">
        <f ca="1">IF(OR(MO.RealTimeStockPriceToggle=FALSE,VLOOKUP(MO.DataSourceName,MO_SPT_StockLow_Sources,COLUMN(),FALSE)="N/A"),VLOOKUP("Real-Time Off Source",MO_SPT_StockLow_Sources,COLUMN(),FALSE),VLOOKUP(MO.DataSourceName,MO_SPT_StockLow_Sources,COLUMN(),FALSE))</f>
        <v>201.87</v>
      </c>
      <c r="BI798" s="284">
        <f t="shared" ca="1" si="1483"/>
        <v>0</v>
      </c>
      <c r="BJ798" s="284">
        <f t="shared" ca="1" si="1482"/>
        <v>0</v>
      </c>
      <c r="BK798" s="284">
        <f ca="1" t="shared" si="1484" ref="BK798:BR798">IF(OR(MO.RealTimeStockPriceToggle=FALSE,VLOOKUP(MO.DataSourceName,MO_SPT_StockLow_Sources,COLUMN(),FALSE)="N/A"),VLOOKUP("Real-Time Off Source",MO_SPT_StockLow_Sources,COLUMN(),FALSE),VLOOKUP(MO.DataSourceName,MO_SPT_StockLow_Sources,COLUMN(),FALSE))</f>
        <v>0</v>
      </c>
      <c r="BL798" s="284">
        <f t="shared" ca="1" si="1484"/>
        <v>0</v>
      </c>
      <c r="BM798" s="284">
        <f t="shared" ca="1" si="1484"/>
        <v>0</v>
      </c>
      <c r="BN798" s="284">
        <f t="shared" ca="1" si="1484"/>
        <v>0</v>
      </c>
      <c r="BO798" s="284">
        <f t="shared" ca="1" si="1484"/>
        <v>0</v>
      </c>
      <c r="BP798" s="284">
        <f t="shared" ca="1" si="1484"/>
        <v>0</v>
      </c>
      <c r="BQ798" s="284">
        <f t="shared" ca="1" si="1484"/>
        <v>0</v>
      </c>
      <c r="BR798" s="286">
        <f t="shared" ca="1" si="1484"/>
        <v>0</v>
      </c>
      <c r="BS798" s="348"/>
    </row>
    <row r="799" spans="1:71" s="288" customFormat="1" ht="15" hidden="1" outlineLevel="1">
      <c r="A799" s="289" t="s">
        <v>304</v>
      </c>
      <c r="B799" s="284"/>
      <c r="C799" s="965">
        <v>33.520000000000003</v>
      </c>
      <c r="D799" s="965">
        <v>47.94</v>
      </c>
      <c r="E799" s="966">
        <v>46.80</v>
      </c>
      <c r="F799" s="966">
        <v>56.87</v>
      </c>
      <c r="G799" s="966">
        <v>72.86</v>
      </c>
      <c r="H799" s="966">
        <v>80.260000000000005</v>
      </c>
      <c r="I799" s="966">
        <v>84.39</v>
      </c>
      <c r="J799" s="966">
        <v>89.12</v>
      </c>
      <c r="K799" s="966">
        <v>91.81</v>
      </c>
      <c r="L799" s="966">
        <v>80.260000000000005</v>
      </c>
      <c r="M799" s="966">
        <v>102.81999999999999</v>
      </c>
      <c r="N799" s="966">
        <v>96.14</v>
      </c>
      <c r="O799" s="966">
        <v>97.49</v>
      </c>
      <c r="P799" s="966">
        <v>98.34</v>
      </c>
      <c r="Q799" s="966">
        <v>96.14</v>
      </c>
      <c r="R799" s="966">
        <v>102.08</v>
      </c>
      <c r="S799" s="966">
        <v>108.79000000000001</v>
      </c>
      <c r="T799" s="966">
        <v>113.70999999999999</v>
      </c>
      <c r="U799" s="966">
        <v>104.67</v>
      </c>
      <c r="V799" s="966">
        <v>102.08</v>
      </c>
      <c r="W799" s="966">
        <v>116.54000000000001</v>
      </c>
      <c r="X799" s="966">
        <v>118.88</v>
      </c>
      <c r="Y799" s="966">
        <v>115.18000000000001</v>
      </c>
      <c r="Z799" s="966">
        <v>123.31999999999999</v>
      </c>
      <c r="AA799" s="966">
        <v>115.18000000000001</v>
      </c>
      <c r="AB799" s="966">
        <v>128.43809999999999</v>
      </c>
      <c r="AC799" s="966">
        <v>119.8946</v>
      </c>
      <c r="AD799" s="966">
        <v>120.932</v>
      </c>
      <c r="AE799" s="966">
        <v>112.63</v>
      </c>
      <c r="AF799" s="966">
        <v>112.63</v>
      </c>
      <c r="AG799" s="966">
        <v>115.26000000000001</v>
      </c>
      <c r="AH799" s="966">
        <v>135.19</v>
      </c>
      <c r="AI799" s="966">
        <v>143.47999999999999</v>
      </c>
      <c r="AJ799" s="966">
        <v>128.93000000000001</v>
      </c>
      <c r="AK799" s="966">
        <v>115.26000000000001</v>
      </c>
      <c r="AL799" s="966">
        <v>81.69</v>
      </c>
      <c r="AM799" s="966">
        <v>89.86</v>
      </c>
      <c r="AN799" s="966">
        <v>107.44</v>
      </c>
      <c r="AO799" s="966">
        <v>107.81</v>
      </c>
      <c r="AP799" s="966">
        <v>81.69</v>
      </c>
      <c r="AQ799" s="966">
        <v>134.53</v>
      </c>
      <c r="AR799" s="966">
        <v>144.75999999999999</v>
      </c>
      <c r="AS799" s="966">
        <v>146.81999999999999</v>
      </c>
      <c r="AT799" s="966">
        <v>145.47999999999999</v>
      </c>
      <c r="AU799" s="966">
        <v>134.53</v>
      </c>
      <c r="AV799" s="966">
        <v>155.75</v>
      </c>
      <c r="AW799" s="966">
        <v>159.77000000000001</v>
      </c>
      <c r="AX799" s="966">
        <v>150.59999999999999</v>
      </c>
      <c r="AY799" s="966">
        <v>156.88</v>
      </c>
      <c r="AZ799" s="966">
        <v>150.59999999999999</v>
      </c>
      <c r="BA799" s="966">
        <v>163.86</v>
      </c>
      <c r="BB799" s="966">
        <v>168.37</v>
      </c>
      <c r="BC799" s="966">
        <v>159.88999999999999</v>
      </c>
      <c r="BD799" s="966">
        <v>157.91999999999999</v>
      </c>
      <c r="BE799" s="966">
        <v>157.91999999999999</v>
      </c>
      <c r="BF799" s="966">
        <v>191.30</v>
      </c>
      <c r="BG799" s="966">
        <v>203.34</v>
      </c>
      <c r="BH799" s="967">
        <v>201.87</v>
      </c>
      <c r="BI799" s="284"/>
      <c r="BJ799" s="284"/>
      <c r="BK799" s="284"/>
      <c r="BL799" s="284"/>
      <c r="BM799" s="284"/>
      <c r="BN799" s="284"/>
      <c r="BO799" s="284"/>
      <c r="BP799" s="284"/>
      <c r="BQ799" s="284"/>
      <c r="BR799" s="286"/>
      <c r="BS799" s="348"/>
    </row>
    <row r="800" spans="1:71" s="288" customFormat="1" ht="15" hidden="1" outlineLevel="1">
      <c r="A800" s="289" t="s">
        <v>7</v>
      </c>
      <c r="B800" s="284"/>
      <c r="C800" s="285" t="str">
        <f ca="1">IFERROR(BDP(MO.Ticker.Bloomberg&amp;" Equity","INTERVAL_LOW","MARKET_DATA_OVERRIDE=PX_LAST","START_DATE_OVERRIDE",TEXT(INDEX(MO_SNA_FPStartDate,0,COLUMN()),"YYYYMMDD"),"END_DATE_OVERRIDE",TEXT(INDEX(MO_Common_QEndDate,0,COLUMN()),"YYYYMMDD")),"N/A")</f>
        <v>N/A</v>
      </c>
      <c r="D800" s="285" t="str">
        <f ca="1">IFERROR(BDP(MO.Ticker.Bloomberg&amp;" Equity","INTERVAL_LOW","MARKET_DATA_OVERRIDE=PX_LAST","START_DATE_OVERRIDE",TEXT(INDEX(MO_SNA_FPStartDate,0,COLUMN()),"YYYYMMDD"),"END_DATE_OVERRIDE",TEXT(INDEX(MO_Common_QEndDate,0,COLUMN()),"YYYYMMDD")),"N/A")</f>
        <v>N/A</v>
      </c>
      <c r="E800" s="284" t="str">
        <f ca="1">IFERROR(BDP(MO.Ticker.Bloomberg&amp;" Equity","INTERVAL_LOW","MARKET_DATA_OVERRIDE=PX_LAST","START_DATE_OVERRIDE",TEXT(INDEX(MO_SNA_FPStartDate,0,COLUMN()),"YYYYMMDD"),"END_DATE_OVERRIDE",TEXT(INDEX(MO_Common_QEndDate,0,COLUMN()),"YYYYMMDD")),"N/A")</f>
        <v>N/A</v>
      </c>
      <c r="F800" s="284" t="str">
        <f ca="1">IFERROR(BDP(MO.Ticker.Bloomberg&amp;" Equity","INTERVAL_LOW","MARKET_DATA_OVERRIDE=PX_LAST","START_DATE_OVERRIDE",TEXT(INDEX(MO_SNA_FPStartDate,0,COLUMN()),"YYYYMMDD"),"END_DATE_OVERRIDE",TEXT(INDEX(MO_Common_QEndDate,0,COLUMN()),"YYYYMMDD")),"N/A")</f>
        <v>N/A</v>
      </c>
      <c r="G800" s="284" t="str">
        <f ca="1">IFERROR(BDP(MO.Ticker.Bloomberg&amp;" Equity","INTERVAL_LOW","MARKET_DATA_OVERRIDE=PX_LAST","START_DATE_OVERRIDE",TEXT(INDEX(MO_SNA_FPStartDate,0,COLUMN()),"YYYYMMDD"),"END_DATE_OVERRIDE",TEXT(INDEX(MO_Common_QEndDate,0,COLUMN()),"YYYYMMDD")),"N/A")</f>
        <v>N/A</v>
      </c>
      <c r="H800" s="284" t="str">
        <f ca="1">IFERROR(BDP(MO.Ticker.Bloomberg&amp;" Equity","INTERVAL_LOW","MARKET_DATA_OVERRIDE=PX_LAST","START_DATE_OVERRIDE",TEXT(INDEX(MO_SNA_FPStartDate,0,COLUMN()),"YYYYMMDD"),"END_DATE_OVERRIDE",TEXT(INDEX(MO_Common_QEndDate,0,COLUMN()),"YYYYMMDD")),"N/A")</f>
        <v>N/A</v>
      </c>
      <c r="I800" s="284" t="str">
        <f ca="1">IFERROR(BDP(MO.Ticker.Bloomberg&amp;" Equity","INTERVAL_LOW","MARKET_DATA_OVERRIDE=PX_LAST","START_DATE_OVERRIDE",TEXT(INDEX(MO_SNA_FPStartDate,0,COLUMN()),"YYYYMMDD"),"END_DATE_OVERRIDE",TEXT(INDEX(MO_Common_QEndDate,0,COLUMN()),"YYYYMMDD")),"N/A")</f>
        <v>N/A</v>
      </c>
      <c r="J800" s="284" t="str">
        <f ca="1">IFERROR(BDP(MO.Ticker.Bloomberg&amp;" Equity","INTERVAL_LOW","MARKET_DATA_OVERRIDE=PX_LAST","START_DATE_OVERRIDE",TEXT(INDEX(MO_SNA_FPStartDate,0,COLUMN()),"YYYYMMDD"),"END_DATE_OVERRIDE",TEXT(INDEX(MO_Common_QEndDate,0,COLUMN()),"YYYYMMDD")),"N/A")</f>
        <v>N/A</v>
      </c>
      <c r="K800" s="284" t="str">
        <f ca="1">IFERROR(BDP(MO.Ticker.Bloomberg&amp;" Equity","INTERVAL_LOW","MARKET_DATA_OVERRIDE=PX_LAST","START_DATE_OVERRIDE",TEXT(INDEX(MO_SNA_FPStartDate,0,COLUMN()),"YYYYMMDD"),"END_DATE_OVERRIDE",TEXT(INDEX(MO_Common_QEndDate,0,COLUMN()),"YYYYMMDD")),"N/A")</f>
        <v>N/A</v>
      </c>
      <c r="L800" s="284" t="str">
        <f ca="1">IFERROR(BDP(MO.Ticker.Bloomberg&amp;" Equity","INTERVAL_LOW","MARKET_DATA_OVERRIDE=PX_LAST","START_DATE_OVERRIDE",TEXT(INDEX(MO_SNA_FPStartDate,0,COLUMN()),"YYYYMMDD"),"END_DATE_OVERRIDE",TEXT(INDEX(MO_Common_QEndDate,0,COLUMN()),"YYYYMMDD")),"N/A")</f>
        <v>N/A</v>
      </c>
      <c r="M800" s="284" t="str">
        <f ca="1">IFERROR(BDP(MO.Ticker.Bloomberg&amp;" Equity","INTERVAL_LOW","MARKET_DATA_OVERRIDE=PX_LAST","START_DATE_OVERRIDE",TEXT(INDEX(MO_SNA_FPStartDate,0,COLUMN()),"YYYYMMDD"),"END_DATE_OVERRIDE",TEXT(INDEX(MO_Common_QEndDate,0,COLUMN()),"YYYYMMDD")),"N/A")</f>
        <v>N/A</v>
      </c>
      <c r="N800" s="284" t="str">
        <f ca="1">IFERROR(BDP(MO.Ticker.Bloomberg&amp;" Equity","INTERVAL_LOW","MARKET_DATA_OVERRIDE=PX_LAST","START_DATE_OVERRIDE",TEXT(INDEX(MO_SNA_FPStartDate,0,COLUMN()),"YYYYMMDD"),"END_DATE_OVERRIDE",TEXT(INDEX(MO_Common_QEndDate,0,COLUMN()),"YYYYMMDD")),"N/A")</f>
        <v>N/A</v>
      </c>
      <c r="O800" s="284" t="str">
        <f ca="1">IFERROR(BDP(MO.Ticker.Bloomberg&amp;" Equity","INTERVAL_LOW","MARKET_DATA_OVERRIDE=PX_LAST","START_DATE_OVERRIDE",TEXT(INDEX(MO_SNA_FPStartDate,0,COLUMN()),"YYYYMMDD"),"END_DATE_OVERRIDE",TEXT(INDEX(MO_Common_QEndDate,0,COLUMN()),"YYYYMMDD")),"N/A")</f>
        <v>N/A</v>
      </c>
      <c r="P800" s="284" t="str">
        <f ca="1">IFERROR(BDP(MO.Ticker.Bloomberg&amp;" Equity","INTERVAL_LOW","MARKET_DATA_OVERRIDE=PX_LAST","START_DATE_OVERRIDE",TEXT(INDEX(MO_SNA_FPStartDate,0,COLUMN()),"YYYYMMDD"),"END_DATE_OVERRIDE",TEXT(INDEX(MO_Common_QEndDate,0,COLUMN()),"YYYYMMDD")),"N/A")</f>
        <v>N/A</v>
      </c>
      <c r="Q800" s="284" t="str">
        <f ca="1">IFERROR(BDP(MO.Ticker.Bloomberg&amp;" Equity","INTERVAL_LOW","MARKET_DATA_OVERRIDE=PX_LAST","START_DATE_OVERRIDE",TEXT(INDEX(MO_SNA_FPStartDate,0,COLUMN()),"YYYYMMDD"),"END_DATE_OVERRIDE",TEXT(INDEX(MO_Common_QEndDate,0,COLUMN()),"YYYYMMDD")),"N/A")</f>
        <v>N/A</v>
      </c>
      <c r="R800" s="284" t="str">
        <f ca="1">IFERROR(BDP(MO.Ticker.Bloomberg&amp;" Equity","INTERVAL_LOW","MARKET_DATA_OVERRIDE=PX_LAST","START_DATE_OVERRIDE",TEXT(INDEX(MO_SNA_FPStartDate,0,COLUMN()),"YYYYMMDD"),"END_DATE_OVERRIDE",TEXT(INDEX(MO_Common_QEndDate,0,COLUMN()),"YYYYMMDD")),"N/A")</f>
        <v>N/A</v>
      </c>
      <c r="S800" s="284" t="str">
        <f ca="1">IFERROR(BDP(MO.Ticker.Bloomberg&amp;" Equity","INTERVAL_LOW","MARKET_DATA_OVERRIDE=PX_LAST","START_DATE_OVERRIDE",TEXT(INDEX(MO_SNA_FPStartDate,0,COLUMN()),"YYYYMMDD"),"END_DATE_OVERRIDE",TEXT(INDEX(MO_Common_QEndDate,0,COLUMN()),"YYYYMMDD")),"N/A")</f>
        <v>N/A</v>
      </c>
      <c r="T800" s="284" t="str">
        <f ca="1">IFERROR(BDP(MO.Ticker.Bloomberg&amp;" Equity","INTERVAL_LOW","MARKET_DATA_OVERRIDE=PX_LAST","START_DATE_OVERRIDE",TEXT(INDEX(MO_SNA_FPStartDate,0,COLUMN()),"YYYYMMDD"),"END_DATE_OVERRIDE",TEXT(INDEX(MO_Common_QEndDate,0,COLUMN()),"YYYYMMDD")),"N/A")</f>
        <v>N/A</v>
      </c>
      <c r="U800" s="284" t="str">
        <f ca="1">IFERROR(BDP(MO.Ticker.Bloomberg&amp;" Equity","INTERVAL_LOW","MARKET_DATA_OVERRIDE=PX_LAST","START_DATE_OVERRIDE",TEXT(INDEX(MO_SNA_FPStartDate,0,COLUMN()),"YYYYMMDD"),"END_DATE_OVERRIDE",TEXT(INDEX(MO_Common_QEndDate,0,COLUMN()),"YYYYMMDD")),"N/A")</f>
        <v>N/A</v>
      </c>
      <c r="V800" s="284" t="str">
        <f ca="1">IFERROR(BDP(MO.Ticker.Bloomberg&amp;" Equity","INTERVAL_LOW","MARKET_DATA_OVERRIDE=PX_LAST","START_DATE_OVERRIDE",TEXT(INDEX(MO_SNA_FPStartDate,0,COLUMN()),"YYYYMMDD"),"END_DATE_OVERRIDE",TEXT(INDEX(MO_Common_QEndDate,0,COLUMN()),"YYYYMMDD")),"N/A")</f>
        <v>N/A</v>
      </c>
      <c r="W800" s="284" t="str">
        <f ca="1">IFERROR(BDP(MO.Ticker.Bloomberg&amp;" Equity","INTERVAL_LOW","MARKET_DATA_OVERRIDE=PX_LAST","START_DATE_OVERRIDE",TEXT(INDEX(MO_SNA_FPStartDate,0,COLUMN()),"YYYYMMDD"),"END_DATE_OVERRIDE",TEXT(INDEX(MO_Common_QEndDate,0,COLUMN()),"YYYYMMDD")),"N/A")</f>
        <v>N/A</v>
      </c>
      <c r="X800" s="284" t="str">
        <f ca="1">IFERROR(BDP(MO.Ticker.Bloomberg&amp;" Equity","INTERVAL_LOW","MARKET_DATA_OVERRIDE=PX_LAST","START_DATE_OVERRIDE",TEXT(INDEX(MO_SNA_FPStartDate,0,COLUMN()),"YYYYMMDD"),"END_DATE_OVERRIDE",TEXT(INDEX(MO_Common_QEndDate,0,COLUMN()),"YYYYMMDD")),"N/A")</f>
        <v>N/A</v>
      </c>
      <c r="Y800" s="284" t="str">
        <f ca="1">IFERROR(BDP(MO.Ticker.Bloomberg&amp;" Equity","INTERVAL_LOW","MARKET_DATA_OVERRIDE=PX_LAST","START_DATE_OVERRIDE",TEXT(INDEX(MO_SNA_FPStartDate,0,COLUMN()),"YYYYMMDD"),"END_DATE_OVERRIDE",TEXT(INDEX(MO_Common_QEndDate,0,COLUMN()),"YYYYMMDD")),"N/A")</f>
        <v>N/A</v>
      </c>
      <c r="Z800" s="284" t="str">
        <f ca="1">IFERROR(BDP(MO.Ticker.Bloomberg&amp;" Equity","INTERVAL_LOW","MARKET_DATA_OVERRIDE=PX_LAST","START_DATE_OVERRIDE",TEXT(INDEX(MO_SNA_FPStartDate,0,COLUMN()),"YYYYMMDD"),"END_DATE_OVERRIDE",TEXT(INDEX(MO_Common_QEndDate,0,COLUMN()),"YYYYMMDD")),"N/A")</f>
        <v>N/A</v>
      </c>
      <c r="AA800" s="284" t="str">
        <f ca="1">IFERROR(BDP(MO.Ticker.Bloomberg&amp;" Equity","INTERVAL_LOW","MARKET_DATA_OVERRIDE=PX_LAST","START_DATE_OVERRIDE",TEXT(INDEX(MO_SNA_FPStartDate,0,COLUMN()),"YYYYMMDD"),"END_DATE_OVERRIDE",TEXT(INDEX(MO_Common_QEndDate,0,COLUMN()),"YYYYMMDD")),"N/A")</f>
        <v>N/A</v>
      </c>
      <c r="AB800" s="284" t="str">
        <f ca="1">IFERROR(BDP(MO.Ticker.Bloomberg&amp;" Equity","INTERVAL_LOW","MARKET_DATA_OVERRIDE=PX_LAST","START_DATE_OVERRIDE",TEXT(INDEX(MO_SNA_FPStartDate,0,COLUMN()),"YYYYMMDD"),"END_DATE_OVERRIDE",TEXT(INDEX(MO_Common_QEndDate,0,COLUMN()),"YYYYMMDD")),"N/A")</f>
        <v>N/A</v>
      </c>
      <c r="AC800" s="284" t="str">
        <f ca="1">IFERROR(BDP(MO.Ticker.Bloomberg&amp;" Equity","INTERVAL_LOW","MARKET_DATA_OVERRIDE=PX_LAST","START_DATE_OVERRIDE",TEXT(INDEX(MO_SNA_FPStartDate,0,COLUMN()),"YYYYMMDD"),"END_DATE_OVERRIDE",TEXT(INDEX(MO_Common_QEndDate,0,COLUMN()),"YYYYMMDD")),"N/A")</f>
        <v>N/A</v>
      </c>
      <c r="AD800" s="284" t="str">
        <f ca="1">IFERROR(BDP(MO.Ticker.Bloomberg&amp;" Equity","INTERVAL_LOW","MARKET_DATA_OVERRIDE=PX_LAST","START_DATE_OVERRIDE",TEXT(INDEX(MO_SNA_FPStartDate,0,COLUMN()),"YYYYMMDD"),"END_DATE_OVERRIDE",TEXT(INDEX(MO_Common_QEndDate,0,COLUMN()),"YYYYMMDD")),"N/A")</f>
        <v>N/A</v>
      </c>
      <c r="AE800" s="284" t="str">
        <f ca="1">IFERROR(BDP(MO.Ticker.Bloomberg&amp;" Equity","INTERVAL_LOW","MARKET_DATA_OVERRIDE=PX_LAST","START_DATE_OVERRIDE",TEXT(INDEX(MO_SNA_FPStartDate,0,COLUMN()),"YYYYMMDD"),"END_DATE_OVERRIDE",TEXT(INDEX(MO_Common_QEndDate,0,COLUMN()),"YYYYMMDD")),"N/A")</f>
        <v>N/A</v>
      </c>
      <c r="AF800" s="284" t="str">
        <f ca="1">IFERROR(BDP(MO.Ticker.Bloomberg&amp;" Equity","INTERVAL_LOW","MARKET_DATA_OVERRIDE=PX_LAST","START_DATE_OVERRIDE",TEXT(INDEX(MO_SNA_FPStartDate,0,COLUMN()),"YYYYMMDD"),"END_DATE_OVERRIDE",TEXT(INDEX(MO_Common_QEndDate,0,COLUMN()),"YYYYMMDD")),"N/A")</f>
        <v>N/A</v>
      </c>
      <c r="AG800" s="284" t="str">
        <f ca="1">IFERROR(BDP(MO.Ticker.Bloomberg&amp;" Equity","INTERVAL_LOW","MARKET_DATA_OVERRIDE=PX_LAST","START_DATE_OVERRIDE",TEXT(INDEX(MO_SNA_FPStartDate,0,COLUMN()),"YYYYMMDD"),"END_DATE_OVERRIDE",TEXT(INDEX(MO_Common_QEndDate,0,COLUMN()),"YYYYMMDD")),"N/A")</f>
        <v>N/A</v>
      </c>
      <c r="AH800" s="284" t="str">
        <f ca="1">IFERROR(BDP(MO.Ticker.Bloomberg&amp;" Equity","INTERVAL_LOW","MARKET_DATA_OVERRIDE=PX_LAST","START_DATE_OVERRIDE",TEXT(INDEX(MO_SNA_FPStartDate,0,COLUMN()),"YYYYMMDD"),"END_DATE_OVERRIDE",TEXT(INDEX(MO_Common_QEndDate,0,COLUMN()),"YYYYMMDD")),"N/A")</f>
        <v>N/A</v>
      </c>
      <c r="AI800" s="284" t="str">
        <f ca="1">IFERROR(BDP(MO.Ticker.Bloomberg&amp;" Equity","INTERVAL_LOW","MARKET_DATA_OVERRIDE=PX_LAST","START_DATE_OVERRIDE",TEXT(INDEX(MO_SNA_FPStartDate,0,COLUMN()),"YYYYMMDD"),"END_DATE_OVERRIDE",TEXT(INDEX(MO_Common_QEndDate,0,COLUMN()),"YYYYMMDD")),"N/A")</f>
        <v>N/A</v>
      </c>
      <c r="AJ800" s="284" t="str">
        <f ca="1">IFERROR(BDP(MO.Ticker.Bloomberg&amp;" Equity","INTERVAL_LOW","MARKET_DATA_OVERRIDE=PX_LAST","START_DATE_OVERRIDE",TEXT(INDEX(MO_SNA_FPStartDate,0,COLUMN()),"YYYYMMDD"),"END_DATE_OVERRIDE",TEXT(INDEX(MO_Common_QEndDate,0,COLUMN()),"YYYYMMDD")),"N/A")</f>
        <v>N/A</v>
      </c>
      <c r="AK800" s="284" t="str">
        <f ca="1">IFERROR(BDP(MO.Ticker.Bloomberg&amp;" Equity","INTERVAL_LOW","MARKET_DATA_OVERRIDE=PX_LAST","START_DATE_OVERRIDE",TEXT(INDEX(MO_SNA_FPStartDate,0,COLUMN()),"YYYYMMDD"),"END_DATE_OVERRIDE",TEXT(INDEX(MO_Common_QEndDate,0,COLUMN()),"YYYYMMDD")),"N/A")</f>
        <v>N/A</v>
      </c>
      <c r="AL800" s="284" t="str">
        <f ca="1">IFERROR(BDP(MO.Ticker.Bloomberg&amp;" Equity","INTERVAL_LOW","MARKET_DATA_OVERRIDE=PX_LAST","START_DATE_OVERRIDE",TEXT(INDEX(MO_SNA_FPStartDate,0,COLUMN()),"YYYYMMDD"),"END_DATE_OVERRIDE",TEXT(INDEX(MO_Common_QEndDate,0,COLUMN()),"YYYYMMDD")),"N/A")</f>
        <v>N/A</v>
      </c>
      <c r="AM800" s="284" t="str">
        <f ca="1">IFERROR(BDP(MO.Ticker.Bloomberg&amp;" Equity","INTERVAL_LOW","MARKET_DATA_OVERRIDE=PX_LAST","START_DATE_OVERRIDE",TEXT(INDEX(MO_SNA_FPStartDate,0,COLUMN()),"YYYYMMDD"),"END_DATE_OVERRIDE",TEXT(INDEX(MO_Common_QEndDate,0,COLUMN()),"YYYYMMDD")),"N/A")</f>
        <v>N/A</v>
      </c>
      <c r="AN800" s="284" t="str">
        <f ca="1">IFERROR(BDP(MO.Ticker.Bloomberg&amp;" Equity","INTERVAL_LOW","MARKET_DATA_OVERRIDE=PX_LAST","START_DATE_OVERRIDE",TEXT(INDEX(MO_SNA_FPStartDate,0,COLUMN()),"YYYYMMDD"),"END_DATE_OVERRIDE",TEXT(INDEX(MO_Common_QEndDate,0,COLUMN()),"YYYYMMDD")),"N/A")</f>
        <v>N/A</v>
      </c>
      <c r="AO800" s="284" t="str">
        <f ca="1">IFERROR(BDP(MO.Ticker.Bloomberg&amp;" Equity","INTERVAL_LOW","MARKET_DATA_OVERRIDE=PX_LAST","START_DATE_OVERRIDE",TEXT(INDEX(MO_SNA_FPStartDate,0,COLUMN()),"YYYYMMDD"),"END_DATE_OVERRIDE",TEXT(INDEX(MO_Common_QEndDate,0,COLUMN()),"YYYYMMDD")),"N/A")</f>
        <v>N/A</v>
      </c>
      <c r="AP800" s="284" t="str">
        <f ca="1">IFERROR(BDP(MO.Ticker.Bloomberg&amp;" Equity","INTERVAL_LOW","MARKET_DATA_OVERRIDE=PX_LAST","START_DATE_OVERRIDE",TEXT(INDEX(MO_SNA_FPStartDate,0,COLUMN()),"YYYYMMDD"),"END_DATE_OVERRIDE",TEXT(INDEX(MO_Common_QEndDate,0,COLUMN()),"YYYYMMDD")),"N/A")</f>
        <v>N/A</v>
      </c>
      <c r="AQ800" s="284" t="str">
        <f ca="1">IFERROR(BDP(MO.Ticker.Bloomberg&amp;" Equity","INTERVAL_LOW","MARKET_DATA_OVERRIDE=PX_LAST","START_DATE_OVERRIDE",TEXT(INDEX(MO_SNA_FPStartDate,0,COLUMN()),"YYYYMMDD"),"END_DATE_OVERRIDE",TEXT(INDEX(MO_Common_QEndDate,0,COLUMN()),"YYYYMMDD")),"N/A")</f>
        <v>N/A</v>
      </c>
      <c r="AR800" s="284" t="str">
        <f ca="1">IFERROR(BDP(MO.Ticker.Bloomberg&amp;" Equity","INTERVAL_LOW","MARKET_DATA_OVERRIDE=PX_LAST","START_DATE_OVERRIDE",TEXT(INDEX(MO_SNA_FPStartDate,0,COLUMN()),"YYYYMMDD"),"END_DATE_OVERRIDE",TEXT(INDEX(MO_Common_QEndDate,0,COLUMN()),"YYYYMMDD")),"N/A")</f>
        <v>N/A</v>
      </c>
      <c r="AS800" s="284" t="str">
        <f ca="1">IFERROR(BDP(MO.Ticker.Bloomberg&amp;" Equity","INTERVAL_LOW","MARKET_DATA_OVERRIDE=PX_LAST","START_DATE_OVERRIDE",TEXT(INDEX(MO_SNA_FPStartDate,0,COLUMN()),"YYYYMMDD"),"END_DATE_OVERRIDE",TEXT(INDEX(MO_Common_QEndDate,0,COLUMN()),"YYYYMMDD")),"N/A")</f>
        <v>N/A</v>
      </c>
      <c r="AT800" s="284" t="str">
        <f ca="1">IFERROR(BDP(MO.Ticker.Bloomberg&amp;" Equity","INTERVAL_LOW","MARKET_DATA_OVERRIDE=PX_LAST","START_DATE_OVERRIDE",TEXT(INDEX(MO_SNA_FPStartDate,0,COLUMN()),"YYYYMMDD"),"END_DATE_OVERRIDE",TEXT(INDEX(MO_Common_QEndDate,0,COLUMN()),"YYYYMMDD")),"N/A")</f>
        <v>N/A</v>
      </c>
      <c r="AU800" s="284" t="str">
        <f ca="1">IFERROR(BDP(MO.Ticker.Bloomberg&amp;" Equity","INTERVAL_LOW","MARKET_DATA_OVERRIDE=PX_LAST","START_DATE_OVERRIDE",TEXT(INDEX(MO_SNA_FPStartDate,0,COLUMN()),"YYYYMMDD"),"END_DATE_OVERRIDE",TEXT(INDEX(MO_Common_QEndDate,0,COLUMN()),"YYYYMMDD")),"N/A")</f>
        <v>N/A</v>
      </c>
      <c r="AV800" s="284" t="str">
        <f ca="1">IFERROR(BDP(MO.Ticker.Bloomberg&amp;" Equity","INTERVAL_LOW","MARKET_DATA_OVERRIDE=PX_LAST","START_DATE_OVERRIDE",TEXT(INDEX(MO_SNA_FPStartDate,0,COLUMN()),"YYYYMMDD"),"END_DATE_OVERRIDE",TEXT(INDEX(MO_Common_QEndDate,0,COLUMN()),"YYYYMMDD")),"N/A")</f>
        <v>N/A</v>
      </c>
      <c r="AW800" s="284" t="str">
        <f ca="1">IFERROR(BDP(MO.Ticker.Bloomberg&amp;" Equity","INTERVAL_LOW","MARKET_DATA_OVERRIDE=PX_LAST","START_DATE_OVERRIDE",TEXT(INDEX(MO_SNA_FPStartDate,0,COLUMN()),"YYYYMMDD"),"END_DATE_OVERRIDE",TEXT(INDEX(MO_Common_QEndDate,0,COLUMN()),"YYYYMMDD")),"N/A")</f>
        <v>N/A</v>
      </c>
      <c r="AX800" s="284" t="str">
        <f ca="1">IFERROR(BDP(MO.Ticker.Bloomberg&amp;" Equity","INTERVAL_LOW","MARKET_DATA_OVERRIDE=PX_LAST","START_DATE_OVERRIDE",TEXT(INDEX(MO_SNA_FPStartDate,0,COLUMN()),"YYYYMMDD"),"END_DATE_OVERRIDE",TEXT(INDEX(MO_Common_QEndDate,0,COLUMN()),"YYYYMMDD")),"N/A")</f>
        <v>N/A</v>
      </c>
      <c r="AY800" s="284" t="str">
        <f ca="1">IFERROR(BDP(MO.Ticker.Bloomberg&amp;" Equity","INTERVAL_LOW","MARKET_DATA_OVERRIDE=PX_LAST","START_DATE_OVERRIDE",TEXT(INDEX(MO_SNA_FPStartDate,0,COLUMN()),"YYYYMMDD"),"END_DATE_OVERRIDE",TEXT(INDEX(MO_Common_QEndDate,0,COLUMN()),"YYYYMMDD")),"N/A")</f>
        <v>N/A</v>
      </c>
      <c r="AZ800" s="284" t="str">
        <f ca="1">IFERROR(BDP(MO.Ticker.Bloomberg&amp;" Equity","INTERVAL_LOW","MARKET_DATA_OVERRIDE=PX_LAST","START_DATE_OVERRIDE",TEXT(INDEX(MO_SNA_FPStartDate,0,COLUMN()),"YYYYMMDD"),"END_DATE_OVERRIDE",TEXT(INDEX(MO_Common_QEndDate,0,COLUMN()),"YYYYMMDD")),"N/A")</f>
        <v>N/A</v>
      </c>
      <c r="BA800" s="284" t="str">
        <f ca="1">IFERROR(BDP(MO.Ticker.Bloomberg&amp;" Equity","INTERVAL_LOW","MARKET_DATA_OVERRIDE=PX_LAST","START_DATE_OVERRIDE",TEXT(INDEX(MO_SNA_FPStartDate,0,COLUMN()),"YYYYMMDD"),"END_DATE_OVERRIDE",TEXT(INDEX(MO_Common_QEndDate,0,COLUMN()),"YYYYMMDD")),"N/A")</f>
        <v>N/A</v>
      </c>
      <c r="BB800" s="284" t="str">
        <f ca="1">IFERROR(BDP(MO.Ticker.Bloomberg&amp;" Equity","INTERVAL_LOW","MARKET_DATA_OVERRIDE=PX_LAST","START_DATE_OVERRIDE",TEXT(INDEX(MO_SNA_FPStartDate,0,COLUMN()),"YYYYMMDD"),"END_DATE_OVERRIDE",TEXT(INDEX(MO_Common_QEndDate,0,COLUMN()),"YYYYMMDD")),"N/A")</f>
        <v>N/A</v>
      </c>
      <c r="BC800" s="284" t="str">
        <f ca="1">IFERROR(BDP(MO.Ticker.Bloomberg&amp;" Equity","INTERVAL_LOW","MARKET_DATA_OVERRIDE=PX_LAST","START_DATE_OVERRIDE",TEXT(INDEX(MO_SNA_FPStartDate,0,COLUMN()),"YYYYMMDD"),"END_DATE_OVERRIDE",TEXT(INDEX(MO_Common_QEndDate,0,COLUMN()),"YYYYMMDD")),"N/A")</f>
        <v>N/A</v>
      </c>
      <c r="BD800" s="284" t="str">
        <f ca="1">IFERROR(BDP(MO.Ticker.Bloomberg&amp;" Equity","INTERVAL_LOW","MARKET_DATA_OVERRIDE=PX_LAST","START_DATE_OVERRIDE",TEXT(INDEX(MO_SNA_FPStartDate,0,COLUMN()),"YYYYMMDD"),"END_DATE_OVERRIDE",TEXT(INDEX(MO_Common_QEndDate,0,COLUMN()),"YYYYMMDD")),"N/A")</f>
        <v>N/A</v>
      </c>
      <c r="BE800" s="284" t="str">
        <f ca="1">IFERROR(BDP(MO.Ticker.Bloomberg&amp;" Equity","INTERVAL_LOW","MARKET_DATA_OVERRIDE=PX_LAST","START_DATE_OVERRIDE",TEXT(INDEX(MO_SNA_FPStartDate,0,COLUMN()),"YYYYMMDD"),"END_DATE_OVERRIDE",TEXT(INDEX(MO_Common_QEndDate,0,COLUMN()),"YYYYMMDD")),"N/A")</f>
        <v>N/A</v>
      </c>
      <c r="BF800" s="284" t="str">
        <f ca="1">IFERROR(BDP(MO.Ticker.Bloomberg&amp;" Equity","INTERVAL_LOW","MARKET_DATA_OVERRIDE=PX_LAST","START_DATE_OVERRIDE",TEXT(INDEX(MO_SNA_FPStartDate,0,COLUMN()),"YYYYMMDD"),"END_DATE_OVERRIDE",TEXT(INDEX(MO_Common_QEndDate,0,COLUMN()),"YYYYMMDD")),"N/A")</f>
        <v>N/A</v>
      </c>
      <c r="BG800" s="284" t="str">
        <f ca="1">IFERROR(BDP(MO.Ticker.Bloomberg&amp;" Equity","INTERVAL_LOW","MARKET_DATA_OVERRIDE=PX_LAST","START_DATE_OVERRIDE",TEXT(INDEX(MO_SNA_FPStartDate,0,COLUMN()),"YYYYMMDD"),"END_DATE_OVERRIDE",TEXT(INDEX(MO_Common_QEndDate,0,COLUMN()),"YYYYMMDD")),"N/A")</f>
        <v>N/A</v>
      </c>
      <c r="BH800" s="561" t="str">
        <f ca="1">IFERROR(BDP(MO.Ticker.Bloomberg&amp;" Equity","INTERVAL_LOW","MARKET_DATA_OVERRIDE=PX_LAST","START_DATE_OVERRIDE",TEXT(INDEX(MO_SNA_FPStartDate,0,COLUMN()),"YYYYMMDD"),"END_DATE_OVERRIDE",TEXT(INDEX(MO_Common_QEndDate,0,COLUMN()),"YYYYMMDD")),"N/A")</f>
        <v>N/A</v>
      </c>
      <c r="BI800" s="284" t="str">
        <f ca="1">IFERROR(BDP(MO.Ticker.Bloomberg&amp;" Equity","INTERVAL_LOW","MARKET_DATA_OVERRIDE=PX_LAST","START_DATE_OVERRIDE",TEXT(INDEX(MO_SNA_FPStartDate,0,COLUMN()),"YYYYMMDD"),"END_DATE_OVERRIDE",TEXT(INDEX(MO_Common_QEndDate,0,COLUMN()),"YYYYMMDD")),"N/A")</f>
        <v>N/A</v>
      </c>
      <c r="BJ800" s="284" t="str">
        <f ca="1">IFERROR(BDP(MO.Ticker.Bloomberg&amp;" Equity","INTERVAL_LOW","MARKET_DATA_OVERRIDE=PX_LAST","START_DATE_OVERRIDE",TEXT(INDEX(MO_SNA_FPStartDate,0,COLUMN()),"YYYYMMDD"),"END_DATE_OVERRIDE",TEXT(INDEX(MO_Common_QEndDate,0,COLUMN()),"YYYYMMDD")),"N/A")</f>
        <v>N/A</v>
      </c>
      <c r="BK800" s="284" t="str">
        <f ca="1">IFERROR(BDP(MO.Ticker.Bloomberg&amp;" Equity","INTERVAL_LOW","MARKET_DATA_OVERRIDE=PX_LAST","START_DATE_OVERRIDE",TEXT(INDEX(MO_SNA_FPStartDate,0,COLUMN()),"YYYYMMDD"),"END_DATE_OVERRIDE",TEXT(INDEX(MO_Common_QEndDate,0,COLUMN()),"YYYYMMDD")),"N/A")</f>
        <v>N/A</v>
      </c>
      <c r="BL800" s="284" t="str">
        <f ca="1">IFERROR(BDP(MO.Ticker.Bloomberg&amp;" Equity","INTERVAL_LOW","MARKET_DATA_OVERRIDE=PX_LAST","START_DATE_OVERRIDE",TEXT(INDEX(MO_SNA_FPStartDate,0,COLUMN()),"YYYYMMDD"),"END_DATE_OVERRIDE",TEXT(INDEX(MO_Common_QEndDate,0,COLUMN()),"YYYYMMDD")),"N/A")</f>
        <v>N/A</v>
      </c>
      <c r="BM800" s="284" t="str">
        <f ca="1">IFERROR(BDP(MO.Ticker.Bloomberg&amp;" Equity","INTERVAL_LOW","MARKET_DATA_OVERRIDE=PX_LAST","START_DATE_OVERRIDE",TEXT(INDEX(MO_SNA_FPStartDate,0,COLUMN()),"YYYYMMDD"),"END_DATE_OVERRIDE",TEXT(INDEX(MO_Common_QEndDate,0,COLUMN()),"YYYYMMDD")),"N/A")</f>
        <v>N/A</v>
      </c>
      <c r="BN800" s="284" t="str">
        <f ca="1">IFERROR(BDP(MO.Ticker.Bloomberg&amp;" Equity","INTERVAL_LOW","MARKET_DATA_OVERRIDE=PX_LAST","START_DATE_OVERRIDE",TEXT(INDEX(MO_SNA_FPStartDate,0,COLUMN()),"YYYYMMDD"),"END_DATE_OVERRIDE",TEXT(INDEX(MO_Common_QEndDate,0,COLUMN()),"YYYYMMDD")),"N/A")</f>
        <v>N/A</v>
      </c>
      <c r="BO800" s="284" t="str">
        <f ca="1">IFERROR(BDP(MO.Ticker.Bloomberg&amp;" Equity","INTERVAL_LOW","MARKET_DATA_OVERRIDE=PX_LAST","START_DATE_OVERRIDE",TEXT(INDEX(MO_SNA_FPStartDate,0,COLUMN()),"YYYYMMDD"),"END_DATE_OVERRIDE",TEXT(INDEX(MO_Common_QEndDate,0,COLUMN()),"YYYYMMDD")),"N/A")</f>
        <v>N/A</v>
      </c>
      <c r="BP800" s="284" t="str">
        <f ca="1">IFERROR(BDP(MO.Ticker.Bloomberg&amp;" Equity","INTERVAL_LOW","MARKET_DATA_OVERRIDE=PX_LAST","START_DATE_OVERRIDE",TEXT(INDEX(MO_SNA_FPStartDate,0,COLUMN()),"YYYYMMDD"),"END_DATE_OVERRIDE",TEXT(INDEX(MO_Common_QEndDate,0,COLUMN()),"YYYYMMDD")),"N/A")</f>
        <v>N/A</v>
      </c>
      <c r="BQ800" s="284" t="str">
        <f ca="1">IFERROR(BDP(MO.Ticker.Bloomberg&amp;" Equity","INTERVAL_LOW","MARKET_DATA_OVERRIDE=PX_LAST","START_DATE_OVERRIDE",TEXT(INDEX(MO_SNA_FPStartDate,0,COLUMN()),"YYYYMMDD"),"END_DATE_OVERRIDE",TEXT(INDEX(MO_Common_QEndDate,0,COLUMN()),"YYYYMMDD")),"N/A")</f>
        <v>N/A</v>
      </c>
      <c r="BR800" s="286" t="str">
        <f ca="1">IFERROR(BDP(MO.Ticker.Bloomberg&amp;" Equity","INTERVAL_LOW","MARKET_DATA_OVERRIDE=PX_LAST","START_DATE_OVERRIDE",TEXT(INDEX(MO_SNA_FPStartDate,0,COLUMN()),"YYYYMMDD"),"END_DATE_OVERRIDE",TEXT(INDEX(MO_Common_QEndDate,0,COLUMN()),"YYYYMMDD")),"N/A")</f>
        <v>N/A</v>
      </c>
      <c r="BS800" s="348"/>
    </row>
    <row r="801" spans="1:71" s="288" customFormat="1" ht="15" hidden="1" outlineLevel="1">
      <c r="A801" s="289" t="s">
        <v>305</v>
      </c>
      <c r="B801" s="284"/>
      <c r="C801" s="285" t="str">
        <f ca="1">IFERROR(CIQLO(MO.Ticker.CapIQ,"IQ_LASTSALEPRICE",INDEX(MO_SNA_FPStartDate,0,COLUMN()),INDEX(MO_Common_QEndDate,0,COLUMN())),"N/A")</f>
        <v>N/A</v>
      </c>
      <c r="D801" s="285" t="str">
        <f ca="1">IFERROR(CIQLO(MO.Ticker.CapIQ,"IQ_LASTSALEPRICE",INDEX(MO_SNA_FPStartDate,0,COLUMN()),INDEX(MO_Common_QEndDate,0,COLUMN())),"N/A")</f>
        <v>N/A</v>
      </c>
      <c r="E801" s="284" t="str">
        <f ca="1">IFERROR(CIQLO(MO.Ticker.CapIQ,"IQ_LASTSALEPRICE",INDEX(MO_SNA_FPStartDate,0,COLUMN()),INDEX(MO_Common_QEndDate,0,COLUMN())),"N/A")</f>
        <v>N/A</v>
      </c>
      <c r="F801" s="284" t="str">
        <f ca="1">IFERROR(CIQLO(MO.Ticker.CapIQ,"IQ_LASTSALEPRICE",INDEX(MO_SNA_FPStartDate,0,COLUMN()),INDEX(MO_Common_QEndDate,0,COLUMN())),"N/A")</f>
        <v>N/A</v>
      </c>
      <c r="G801" s="284" t="str">
        <f ca="1">IFERROR(CIQLO(MO.Ticker.CapIQ,"IQ_LASTSALEPRICE",INDEX(MO_SNA_FPStartDate,0,COLUMN()),INDEX(MO_Common_QEndDate,0,COLUMN())),"N/A")</f>
        <v>N/A</v>
      </c>
      <c r="H801" s="284" t="str">
        <f ca="1">IFERROR(CIQLO(MO.Ticker.CapIQ,"IQ_LASTSALEPRICE",INDEX(MO_SNA_FPStartDate,0,COLUMN()),INDEX(MO_Common_QEndDate,0,COLUMN())),"N/A")</f>
        <v>N/A</v>
      </c>
      <c r="I801" s="284" t="str">
        <f ca="1">IFERROR(CIQLO(MO.Ticker.CapIQ,"IQ_LASTSALEPRICE",INDEX(MO_SNA_FPStartDate,0,COLUMN()),INDEX(MO_Common_QEndDate,0,COLUMN())),"N/A")</f>
        <v>N/A</v>
      </c>
      <c r="J801" s="284" t="str">
        <f ca="1">IFERROR(CIQLO(MO.Ticker.CapIQ,"IQ_LASTSALEPRICE",INDEX(MO_SNA_FPStartDate,0,COLUMN()),INDEX(MO_Common_QEndDate,0,COLUMN())),"N/A")</f>
        <v>N/A</v>
      </c>
      <c r="K801" s="284" t="str">
        <f ca="1">IFERROR(CIQLO(MO.Ticker.CapIQ,"IQ_LASTSALEPRICE",INDEX(MO_SNA_FPStartDate,0,COLUMN()),INDEX(MO_Common_QEndDate,0,COLUMN())),"N/A")</f>
        <v>N/A</v>
      </c>
      <c r="L801" s="284" t="str">
        <f ca="1">IFERROR(CIQLO(MO.Ticker.CapIQ,"IQ_LASTSALEPRICE",INDEX(MO_SNA_FPStartDate,0,COLUMN()),INDEX(MO_Common_QEndDate,0,COLUMN())),"N/A")</f>
        <v>N/A</v>
      </c>
      <c r="M801" s="284" t="str">
        <f ca="1">IFERROR(CIQLO(MO.Ticker.CapIQ,"IQ_LASTSALEPRICE",INDEX(MO_SNA_FPStartDate,0,COLUMN()),INDEX(MO_Common_QEndDate,0,COLUMN())),"N/A")</f>
        <v>N/A</v>
      </c>
      <c r="N801" s="284" t="str">
        <f ca="1">IFERROR(CIQLO(MO.Ticker.CapIQ,"IQ_LASTSALEPRICE",INDEX(MO_SNA_FPStartDate,0,COLUMN()),INDEX(MO_Common_QEndDate,0,COLUMN())),"N/A")</f>
        <v>N/A</v>
      </c>
      <c r="O801" s="284" t="str">
        <f ca="1">IFERROR(CIQLO(MO.Ticker.CapIQ,"IQ_LASTSALEPRICE",INDEX(MO_SNA_FPStartDate,0,COLUMN()),INDEX(MO_Common_QEndDate,0,COLUMN())),"N/A")</f>
        <v>N/A</v>
      </c>
      <c r="P801" s="284" t="str">
        <f ca="1">IFERROR(CIQLO(MO.Ticker.CapIQ,"IQ_LASTSALEPRICE",INDEX(MO_SNA_FPStartDate,0,COLUMN()),INDEX(MO_Common_QEndDate,0,COLUMN())),"N/A")</f>
        <v>N/A</v>
      </c>
      <c r="Q801" s="284" t="str">
        <f ca="1">IFERROR(CIQLO(MO.Ticker.CapIQ,"IQ_LASTSALEPRICE",INDEX(MO_SNA_FPStartDate,0,COLUMN()),INDEX(MO_Common_QEndDate,0,COLUMN())),"N/A")</f>
        <v>N/A</v>
      </c>
      <c r="R801" s="284" t="str">
        <f ca="1">IFERROR(CIQLO(MO.Ticker.CapIQ,"IQ_LASTSALEPRICE",INDEX(MO_SNA_FPStartDate,0,COLUMN()),INDEX(MO_Common_QEndDate,0,COLUMN())),"N/A")</f>
        <v>N/A</v>
      </c>
      <c r="S801" s="284" t="str">
        <f ca="1">IFERROR(CIQLO(MO.Ticker.CapIQ,"IQ_LASTSALEPRICE",INDEX(MO_SNA_FPStartDate,0,COLUMN()),INDEX(MO_Common_QEndDate,0,COLUMN())),"N/A")</f>
        <v>N/A</v>
      </c>
      <c r="T801" s="284" t="str">
        <f ca="1">IFERROR(CIQLO(MO.Ticker.CapIQ,"IQ_LASTSALEPRICE",INDEX(MO_SNA_FPStartDate,0,COLUMN()),INDEX(MO_Common_QEndDate,0,COLUMN())),"N/A")</f>
        <v>N/A</v>
      </c>
      <c r="U801" s="284" t="str">
        <f ca="1">IFERROR(CIQLO(MO.Ticker.CapIQ,"IQ_LASTSALEPRICE",INDEX(MO_SNA_FPStartDate,0,COLUMN()),INDEX(MO_Common_QEndDate,0,COLUMN())),"N/A")</f>
        <v>N/A</v>
      </c>
      <c r="V801" s="284" t="str">
        <f ca="1">IFERROR(CIQLO(MO.Ticker.CapIQ,"IQ_LASTSALEPRICE",INDEX(MO_SNA_FPStartDate,0,COLUMN()),INDEX(MO_Common_QEndDate,0,COLUMN())),"N/A")</f>
        <v>N/A</v>
      </c>
      <c r="W801" s="284" t="str">
        <f ca="1">IFERROR(CIQLO(MO.Ticker.CapIQ,"IQ_LASTSALEPRICE",INDEX(MO_SNA_FPStartDate,0,COLUMN()),INDEX(MO_Common_QEndDate,0,COLUMN())),"N/A")</f>
        <v>N/A</v>
      </c>
      <c r="X801" s="284" t="str">
        <f ca="1">IFERROR(CIQLO(MO.Ticker.CapIQ,"IQ_LASTSALEPRICE",INDEX(MO_SNA_FPStartDate,0,COLUMN()),INDEX(MO_Common_QEndDate,0,COLUMN())),"N/A")</f>
        <v>N/A</v>
      </c>
      <c r="Y801" s="284" t="str">
        <f ca="1">IFERROR(CIQLO(MO.Ticker.CapIQ,"IQ_LASTSALEPRICE",INDEX(MO_SNA_FPStartDate,0,COLUMN()),INDEX(MO_Common_QEndDate,0,COLUMN())),"N/A")</f>
        <v>N/A</v>
      </c>
      <c r="Z801" s="284" t="str">
        <f ca="1">IFERROR(CIQLO(MO.Ticker.CapIQ,"IQ_LASTSALEPRICE",INDEX(MO_SNA_FPStartDate,0,COLUMN()),INDEX(MO_Common_QEndDate,0,COLUMN())),"N/A")</f>
        <v>N/A</v>
      </c>
      <c r="AA801" s="284" t="str">
        <f ca="1">IFERROR(CIQLO(MO.Ticker.CapIQ,"IQ_LASTSALEPRICE",INDEX(MO_SNA_FPStartDate,0,COLUMN()),INDEX(MO_Common_QEndDate,0,COLUMN())),"N/A")</f>
        <v>N/A</v>
      </c>
      <c r="AB801" s="284" t="str">
        <f ca="1">IFERROR(CIQLO(MO.Ticker.CapIQ,"IQ_LASTSALEPRICE",INDEX(MO_SNA_FPStartDate,0,COLUMN()),INDEX(MO_Common_QEndDate,0,COLUMN())),"N/A")</f>
        <v>N/A</v>
      </c>
      <c r="AC801" s="284" t="str">
        <f ca="1">IFERROR(CIQLO(MO.Ticker.CapIQ,"IQ_LASTSALEPRICE",INDEX(MO_SNA_FPStartDate,0,COLUMN()),INDEX(MO_Common_QEndDate,0,COLUMN())),"N/A")</f>
        <v>N/A</v>
      </c>
      <c r="AD801" s="284" t="str">
        <f ca="1">IFERROR(CIQLO(MO.Ticker.CapIQ,"IQ_LASTSALEPRICE",INDEX(MO_SNA_FPStartDate,0,COLUMN()),INDEX(MO_Common_QEndDate,0,COLUMN())),"N/A")</f>
        <v>N/A</v>
      </c>
      <c r="AE801" s="284" t="str">
        <f ca="1">IFERROR(CIQLO(MO.Ticker.CapIQ,"IQ_LASTSALEPRICE",INDEX(MO_SNA_FPStartDate,0,COLUMN()),INDEX(MO_Common_QEndDate,0,COLUMN())),"N/A")</f>
        <v>N/A</v>
      </c>
      <c r="AF801" s="284" t="str">
        <f ca="1">IFERROR(CIQLO(MO.Ticker.CapIQ,"IQ_LASTSALEPRICE",INDEX(MO_SNA_FPStartDate,0,COLUMN()),INDEX(MO_Common_QEndDate,0,COLUMN())),"N/A")</f>
        <v>N/A</v>
      </c>
      <c r="AG801" s="284" t="str">
        <f ca="1">IFERROR(CIQLO(MO.Ticker.CapIQ,"IQ_LASTSALEPRICE",INDEX(MO_SNA_FPStartDate,0,COLUMN()),INDEX(MO_Common_QEndDate,0,COLUMN())),"N/A")</f>
        <v>N/A</v>
      </c>
      <c r="AH801" s="284" t="str">
        <f ca="1">IFERROR(CIQLO(MO.Ticker.CapIQ,"IQ_LASTSALEPRICE",INDEX(MO_SNA_FPStartDate,0,COLUMN()),INDEX(MO_Common_QEndDate,0,COLUMN())),"N/A")</f>
        <v>N/A</v>
      </c>
      <c r="AI801" s="284" t="str">
        <f ca="1">IFERROR(CIQLO(MO.Ticker.CapIQ,"IQ_LASTSALEPRICE",INDEX(MO_SNA_FPStartDate,0,COLUMN()),INDEX(MO_Common_QEndDate,0,COLUMN())),"N/A")</f>
        <v>N/A</v>
      </c>
      <c r="AJ801" s="284" t="str">
        <f ca="1">IFERROR(CIQLO(MO.Ticker.CapIQ,"IQ_LASTSALEPRICE",INDEX(MO_SNA_FPStartDate,0,COLUMN()),INDEX(MO_Common_QEndDate,0,COLUMN())),"N/A")</f>
        <v>N/A</v>
      </c>
      <c r="AK801" s="284" t="str">
        <f ca="1">IFERROR(CIQLO(MO.Ticker.CapIQ,"IQ_LASTSALEPRICE",INDEX(MO_SNA_FPStartDate,0,COLUMN()),INDEX(MO_Common_QEndDate,0,COLUMN())),"N/A")</f>
        <v>N/A</v>
      </c>
      <c r="AL801" s="284" t="str">
        <f ca="1">IFERROR(CIQLO(MO.Ticker.CapIQ,"IQ_LASTSALEPRICE",INDEX(MO_SNA_FPStartDate,0,COLUMN()),INDEX(MO_Common_QEndDate,0,COLUMN())),"N/A")</f>
        <v>N/A</v>
      </c>
      <c r="AM801" s="284" t="str">
        <f ca="1">IFERROR(CIQLO(MO.Ticker.CapIQ,"IQ_LASTSALEPRICE",INDEX(MO_SNA_FPStartDate,0,COLUMN()),INDEX(MO_Common_QEndDate,0,COLUMN())),"N/A")</f>
        <v>N/A</v>
      </c>
      <c r="AN801" s="284" t="str">
        <f ca="1">IFERROR(CIQLO(MO.Ticker.CapIQ,"IQ_LASTSALEPRICE",INDEX(MO_SNA_FPStartDate,0,COLUMN()),INDEX(MO_Common_QEndDate,0,COLUMN())),"N/A")</f>
        <v>N/A</v>
      </c>
      <c r="AO801" s="284" t="str">
        <f ca="1">IFERROR(CIQLO(MO.Ticker.CapIQ,"IQ_LASTSALEPRICE",INDEX(MO_SNA_FPStartDate,0,COLUMN()),INDEX(MO_Common_QEndDate,0,COLUMN())),"N/A")</f>
        <v>N/A</v>
      </c>
      <c r="AP801" s="284" t="str">
        <f ca="1">IFERROR(CIQLO(MO.Ticker.CapIQ,"IQ_LASTSALEPRICE",INDEX(MO_SNA_FPStartDate,0,COLUMN()),INDEX(MO_Common_QEndDate,0,COLUMN())),"N/A")</f>
        <v>N/A</v>
      </c>
      <c r="AQ801" s="284" t="str">
        <f ca="1">IFERROR(CIQLO(MO.Ticker.CapIQ,"IQ_LASTSALEPRICE",INDEX(MO_SNA_FPStartDate,0,COLUMN()),INDEX(MO_Common_QEndDate,0,COLUMN())),"N/A")</f>
        <v>N/A</v>
      </c>
      <c r="AR801" s="284" t="str">
        <f ca="1">IFERROR(CIQLO(MO.Ticker.CapIQ,"IQ_LASTSALEPRICE",INDEX(MO_SNA_FPStartDate,0,COLUMN()),INDEX(MO_Common_QEndDate,0,COLUMN())),"N/A")</f>
        <v>N/A</v>
      </c>
      <c r="AS801" s="284" t="str">
        <f ca="1">IFERROR(CIQLO(MO.Ticker.CapIQ,"IQ_LASTSALEPRICE",INDEX(MO_SNA_FPStartDate,0,COLUMN()),INDEX(MO_Common_QEndDate,0,COLUMN())),"N/A")</f>
        <v>N/A</v>
      </c>
      <c r="AT801" s="284" t="str">
        <f ca="1">IFERROR(CIQLO(MO.Ticker.CapIQ,"IQ_LASTSALEPRICE",INDEX(MO_SNA_FPStartDate,0,COLUMN()),INDEX(MO_Common_QEndDate,0,COLUMN())),"N/A")</f>
        <v>N/A</v>
      </c>
      <c r="AU801" s="284" t="str">
        <f ca="1">IFERROR(CIQLO(MO.Ticker.CapIQ,"IQ_LASTSALEPRICE",INDEX(MO_SNA_FPStartDate,0,COLUMN()),INDEX(MO_Common_QEndDate,0,COLUMN())),"N/A")</f>
        <v>N/A</v>
      </c>
      <c r="AV801" s="284" t="str">
        <f ca="1">IFERROR(CIQLO(MO.Ticker.CapIQ,"IQ_LASTSALEPRICE",INDEX(MO_SNA_FPStartDate,0,COLUMN()),INDEX(MO_Common_QEndDate,0,COLUMN())),"N/A")</f>
        <v>N/A</v>
      </c>
      <c r="AW801" s="284" t="str">
        <f ca="1">IFERROR(CIQLO(MO.Ticker.CapIQ,"IQ_LASTSALEPRICE",INDEX(MO_SNA_FPStartDate,0,COLUMN()),INDEX(MO_Common_QEndDate,0,COLUMN())),"N/A")</f>
        <v>N/A</v>
      </c>
      <c r="AX801" s="284" t="str">
        <f ca="1">IFERROR(CIQLO(MO.Ticker.CapIQ,"IQ_LASTSALEPRICE",INDEX(MO_SNA_FPStartDate,0,COLUMN()),INDEX(MO_Common_QEndDate,0,COLUMN())),"N/A")</f>
        <v>N/A</v>
      </c>
      <c r="AY801" s="284" t="str">
        <f ca="1">IFERROR(CIQLO(MO.Ticker.CapIQ,"IQ_LASTSALEPRICE",INDEX(MO_SNA_FPStartDate,0,COLUMN()),INDEX(MO_Common_QEndDate,0,COLUMN())),"N/A")</f>
        <v>N/A</v>
      </c>
      <c r="AZ801" s="284" t="str">
        <f ca="1">IFERROR(CIQLO(MO.Ticker.CapIQ,"IQ_LASTSALEPRICE",INDEX(MO_SNA_FPStartDate,0,COLUMN()),INDEX(MO_Common_QEndDate,0,COLUMN())),"N/A")</f>
        <v>N/A</v>
      </c>
      <c r="BA801" s="284" t="str">
        <f ca="1">IFERROR(CIQLO(MO.Ticker.CapIQ,"IQ_LASTSALEPRICE",INDEX(MO_SNA_FPStartDate,0,COLUMN()),INDEX(MO_Common_QEndDate,0,COLUMN())),"N/A")</f>
        <v>N/A</v>
      </c>
      <c r="BB801" s="284" t="str">
        <f ca="1">IFERROR(CIQLO(MO.Ticker.CapIQ,"IQ_LASTSALEPRICE",INDEX(MO_SNA_FPStartDate,0,COLUMN()),INDEX(MO_Common_QEndDate,0,COLUMN())),"N/A")</f>
        <v>N/A</v>
      </c>
      <c r="BC801" s="284" t="str">
        <f ca="1">IFERROR(CIQLO(MO.Ticker.CapIQ,"IQ_LASTSALEPRICE",INDEX(MO_SNA_FPStartDate,0,COLUMN()),INDEX(MO_Common_QEndDate,0,COLUMN())),"N/A")</f>
        <v>N/A</v>
      </c>
      <c r="BD801" s="284" t="str">
        <f ca="1">IFERROR(CIQLO(MO.Ticker.CapIQ,"IQ_LASTSALEPRICE",INDEX(MO_SNA_FPStartDate,0,COLUMN()),INDEX(MO_Common_QEndDate,0,COLUMN())),"N/A")</f>
        <v>N/A</v>
      </c>
      <c r="BE801" s="284" t="str">
        <f ca="1">IFERROR(CIQLO(MO.Ticker.CapIQ,"IQ_LASTSALEPRICE",INDEX(MO_SNA_FPStartDate,0,COLUMN()),INDEX(MO_Common_QEndDate,0,COLUMN())),"N/A")</f>
        <v>N/A</v>
      </c>
      <c r="BF801" s="284" t="str">
        <f ca="1">IFERROR(CIQLO(MO.Ticker.CapIQ,"IQ_LASTSALEPRICE",INDEX(MO_SNA_FPStartDate,0,COLUMN()),INDEX(MO_Common_QEndDate,0,COLUMN())),"N/A")</f>
        <v>N/A</v>
      </c>
      <c r="BG801" s="284" t="str">
        <f ca="1">IFERROR(CIQLO(MO.Ticker.CapIQ,"IQ_LASTSALEPRICE",INDEX(MO_SNA_FPStartDate,0,COLUMN()),INDEX(MO_Common_QEndDate,0,COLUMN())),"N/A")</f>
        <v>N/A</v>
      </c>
      <c r="BH801" s="561" t="str">
        <f ca="1">IFERROR(CIQLO(MO.Ticker.CapIQ,"IQ_LASTSALEPRICE",INDEX(MO_SNA_FPStartDate,0,COLUMN()),INDEX(MO_Common_QEndDate,0,COLUMN())),"N/A")</f>
        <v>N/A</v>
      </c>
      <c r="BI801" s="284" t="str">
        <f ca="1">IFERROR(CIQLO(MO.Ticker.CapIQ,"IQ_LASTSALEPRICE",INDEX(MO_SNA_FPStartDate,0,COLUMN()),INDEX(MO_Common_QEndDate,0,COLUMN())),"N/A")</f>
        <v>N/A</v>
      </c>
      <c r="BJ801" s="284" t="str">
        <f ca="1">IFERROR(CIQLO(MO.Ticker.CapIQ,"IQ_LASTSALEPRICE",INDEX(MO_SNA_FPStartDate,0,COLUMN()),INDEX(MO_Common_QEndDate,0,COLUMN())),"N/A")</f>
        <v>N/A</v>
      </c>
      <c r="BK801" s="284" t="str">
        <f ca="1">IFERROR(CIQLO(MO.Ticker.CapIQ,"IQ_LASTSALEPRICE",INDEX(MO_SNA_FPStartDate,0,COLUMN()),INDEX(MO_Common_QEndDate,0,COLUMN())),"N/A")</f>
        <v>N/A</v>
      </c>
      <c r="BL801" s="284" t="str">
        <f ca="1">IFERROR(CIQLO(MO.Ticker.CapIQ,"IQ_LASTSALEPRICE",INDEX(MO_SNA_FPStartDate,0,COLUMN()),INDEX(MO_Common_QEndDate,0,COLUMN())),"N/A")</f>
        <v>N/A</v>
      </c>
      <c r="BM801" s="284" t="str">
        <f ca="1">IFERROR(CIQLO(MO.Ticker.CapIQ,"IQ_LASTSALEPRICE",INDEX(MO_SNA_FPStartDate,0,COLUMN()),INDEX(MO_Common_QEndDate,0,COLUMN())),"N/A")</f>
        <v>N/A</v>
      </c>
      <c r="BN801" s="284" t="str">
        <f ca="1">IFERROR(CIQLO(MO.Ticker.CapIQ,"IQ_LASTSALEPRICE",INDEX(MO_SNA_FPStartDate,0,COLUMN()),INDEX(MO_Common_QEndDate,0,COLUMN())),"N/A")</f>
        <v>N/A</v>
      </c>
      <c r="BO801" s="284" t="str">
        <f ca="1">IFERROR(CIQLO(MO.Ticker.CapIQ,"IQ_LASTSALEPRICE",INDEX(MO_SNA_FPStartDate,0,COLUMN()),INDEX(MO_Common_QEndDate,0,COLUMN())),"N/A")</f>
        <v>N/A</v>
      </c>
      <c r="BP801" s="284" t="str">
        <f ca="1">IFERROR(CIQLO(MO.Ticker.CapIQ,"IQ_LASTSALEPRICE",INDEX(MO_SNA_FPStartDate,0,COLUMN()),INDEX(MO_Common_QEndDate,0,COLUMN())),"N/A")</f>
        <v>N/A</v>
      </c>
      <c r="BQ801" s="284" t="str">
        <f ca="1">IFERROR(CIQLO(MO.Ticker.CapIQ,"IQ_LASTSALEPRICE",INDEX(MO_SNA_FPStartDate,0,COLUMN()),INDEX(MO_Common_QEndDate,0,COLUMN())),"N/A")</f>
        <v>N/A</v>
      </c>
      <c r="BR801" s="286" t="str">
        <f ca="1">IFERROR(CIQLO(MO.Ticker.CapIQ,"IQ_LASTSALEPRICE",INDEX(MO_SNA_FPStartDate,0,COLUMN()),INDEX(MO_Common_QEndDate,0,COLUMN())),"N/A")</f>
        <v>N/A</v>
      </c>
      <c r="BS801" s="348"/>
    </row>
    <row r="802" spans="1:71" s="288" customFormat="1" ht="15" hidden="1" outlineLevel="1">
      <c r="A802" s="289" t="s">
        <v>306</v>
      </c>
      <c r="B802" s="284"/>
      <c r="C802" s="285" t="str">
        <f ca="1">IFERROR(FDS(MO.Ticker.FactSet,"P_PRICE_LOW"&amp;"("&amp;INDEX(MO_SNA_FPStartDate,0,COLUMN())&amp;","&amp;INDEX(MO_Common_QEndDate,0,COLUMN())&amp;",,,,""PRICE"",""CLOSE"")"),"N/A")</f>
        <v>N/A</v>
      </c>
      <c r="D802" s="285" t="str">
        <f ca="1">IFERROR(FDS(MO.Ticker.FactSet,"P_PRICE_LOW"&amp;"("&amp;INDEX(MO_SNA_FPStartDate,0,COLUMN())&amp;","&amp;INDEX(MO_Common_QEndDate,0,COLUMN())&amp;",,,,""PRICE"",""CLOSE"")"),"N/A")</f>
        <v>N/A</v>
      </c>
      <c r="E802" s="284" t="str">
        <f ca="1">IFERROR(FDS(MO.Ticker.FactSet,"P_PRICE_LOW"&amp;"("&amp;INDEX(MO_SNA_FPStartDate,0,COLUMN())&amp;","&amp;INDEX(MO_Common_QEndDate,0,COLUMN())&amp;",,,,""PRICE"",""CLOSE"")"),"N/A")</f>
        <v>N/A</v>
      </c>
      <c r="F802" s="284" t="str">
        <f ca="1">IFERROR(FDS(MO.Ticker.FactSet,"P_PRICE_LOW"&amp;"("&amp;INDEX(MO_SNA_FPStartDate,0,COLUMN())&amp;","&amp;INDEX(MO_Common_QEndDate,0,COLUMN())&amp;",,,,""PRICE"",""CLOSE"")"),"N/A")</f>
        <v>N/A</v>
      </c>
      <c r="G802" s="284" t="str">
        <f ca="1">IFERROR(FDS(MO.Ticker.FactSet,"P_PRICE_LOW"&amp;"("&amp;INDEX(MO_SNA_FPStartDate,0,COLUMN())&amp;","&amp;INDEX(MO_Common_QEndDate,0,COLUMN())&amp;",,,,""PRICE"",""CLOSE"")"),"N/A")</f>
        <v>N/A</v>
      </c>
      <c r="H802" s="284" t="str">
        <f ca="1">IFERROR(FDS(MO.Ticker.FactSet,"P_PRICE_LOW"&amp;"("&amp;INDEX(MO_SNA_FPStartDate,0,COLUMN())&amp;","&amp;INDEX(MO_Common_QEndDate,0,COLUMN())&amp;",,,,""PRICE"",""CLOSE"")"),"N/A")</f>
        <v>N/A</v>
      </c>
      <c r="I802" s="284" t="str">
        <f ca="1">IFERROR(FDS(MO.Ticker.FactSet,"P_PRICE_LOW"&amp;"("&amp;INDEX(MO_SNA_FPStartDate,0,COLUMN())&amp;","&amp;INDEX(MO_Common_QEndDate,0,COLUMN())&amp;",,,,""PRICE"",""CLOSE"")"),"N/A")</f>
        <v>N/A</v>
      </c>
      <c r="J802" s="284" t="str">
        <f ca="1">IFERROR(FDS(MO.Ticker.FactSet,"P_PRICE_LOW"&amp;"("&amp;INDEX(MO_SNA_FPStartDate,0,COLUMN())&amp;","&amp;INDEX(MO_Common_QEndDate,0,COLUMN())&amp;",,,,""PRICE"",""CLOSE"")"),"N/A")</f>
        <v>N/A</v>
      </c>
      <c r="K802" s="284" t="str">
        <f ca="1">IFERROR(FDS(MO.Ticker.FactSet,"P_PRICE_LOW"&amp;"("&amp;INDEX(MO_SNA_FPStartDate,0,COLUMN())&amp;","&amp;INDEX(MO_Common_QEndDate,0,COLUMN())&amp;",,,,""PRICE"",""CLOSE"")"),"N/A")</f>
        <v>N/A</v>
      </c>
      <c r="L802" s="284" t="str">
        <f ca="1">IFERROR(FDS(MO.Ticker.FactSet,"P_PRICE_LOW"&amp;"("&amp;INDEX(MO_SNA_FPStartDate,0,COLUMN())&amp;","&amp;INDEX(MO_Common_QEndDate,0,COLUMN())&amp;",,,,""PRICE"",""CLOSE"")"),"N/A")</f>
        <v>N/A</v>
      </c>
      <c r="M802" s="284" t="str">
        <f ca="1">IFERROR(FDS(MO.Ticker.FactSet,"P_PRICE_LOW"&amp;"("&amp;INDEX(MO_SNA_FPStartDate,0,COLUMN())&amp;","&amp;INDEX(MO_Common_QEndDate,0,COLUMN())&amp;",,,,""PRICE"",""CLOSE"")"),"N/A")</f>
        <v>N/A</v>
      </c>
      <c r="N802" s="284" t="str">
        <f ca="1">IFERROR(FDS(MO.Ticker.FactSet,"P_PRICE_LOW"&amp;"("&amp;INDEX(MO_SNA_FPStartDate,0,COLUMN())&amp;","&amp;INDEX(MO_Common_QEndDate,0,COLUMN())&amp;",,,,""PRICE"",""CLOSE"")"),"N/A")</f>
        <v>N/A</v>
      </c>
      <c r="O802" s="284" t="str">
        <f ca="1">IFERROR(FDS(MO.Ticker.FactSet,"P_PRICE_LOW"&amp;"("&amp;INDEX(MO_SNA_FPStartDate,0,COLUMN())&amp;","&amp;INDEX(MO_Common_QEndDate,0,COLUMN())&amp;",,,,""PRICE"",""CLOSE"")"),"N/A")</f>
        <v>N/A</v>
      </c>
      <c r="P802" s="284" t="str">
        <f ca="1">IFERROR(FDS(MO.Ticker.FactSet,"P_PRICE_LOW"&amp;"("&amp;INDEX(MO_SNA_FPStartDate,0,COLUMN())&amp;","&amp;INDEX(MO_Common_QEndDate,0,COLUMN())&amp;",,,,""PRICE"",""CLOSE"")"),"N/A")</f>
        <v>N/A</v>
      </c>
      <c r="Q802" s="284" t="str">
        <f ca="1">IFERROR(FDS(MO.Ticker.FactSet,"P_PRICE_LOW"&amp;"("&amp;INDEX(MO_SNA_FPStartDate,0,COLUMN())&amp;","&amp;INDEX(MO_Common_QEndDate,0,COLUMN())&amp;",,,,""PRICE"",""CLOSE"")"),"N/A")</f>
        <v>N/A</v>
      </c>
      <c r="R802" s="284" t="str">
        <f ca="1">IFERROR(FDS(MO.Ticker.FactSet,"P_PRICE_LOW"&amp;"("&amp;INDEX(MO_SNA_FPStartDate,0,COLUMN())&amp;","&amp;INDEX(MO_Common_QEndDate,0,COLUMN())&amp;",,,,""PRICE"",""CLOSE"")"),"N/A")</f>
        <v>N/A</v>
      </c>
      <c r="S802" s="284" t="str">
        <f ca="1">IFERROR(FDS(MO.Ticker.FactSet,"P_PRICE_LOW"&amp;"("&amp;INDEX(MO_SNA_FPStartDate,0,COLUMN())&amp;","&amp;INDEX(MO_Common_QEndDate,0,COLUMN())&amp;",,,,""PRICE"",""CLOSE"")"),"N/A")</f>
        <v>N/A</v>
      </c>
      <c r="T802" s="284" t="str">
        <f ca="1">IFERROR(FDS(MO.Ticker.FactSet,"P_PRICE_LOW"&amp;"("&amp;INDEX(MO_SNA_FPStartDate,0,COLUMN())&amp;","&amp;INDEX(MO_Common_QEndDate,0,COLUMN())&amp;",,,,""PRICE"",""CLOSE"")"),"N/A")</f>
        <v>N/A</v>
      </c>
      <c r="U802" s="284" t="str">
        <f ca="1">IFERROR(FDS(MO.Ticker.FactSet,"P_PRICE_LOW"&amp;"("&amp;INDEX(MO_SNA_FPStartDate,0,COLUMN())&amp;","&amp;INDEX(MO_Common_QEndDate,0,COLUMN())&amp;",,,,""PRICE"",""CLOSE"")"),"N/A")</f>
        <v>N/A</v>
      </c>
      <c r="V802" s="284" t="str">
        <f ca="1">IFERROR(FDS(MO.Ticker.FactSet,"P_PRICE_LOW"&amp;"("&amp;INDEX(MO_SNA_FPStartDate,0,COLUMN())&amp;","&amp;INDEX(MO_Common_QEndDate,0,COLUMN())&amp;",,,,""PRICE"",""CLOSE"")"),"N/A")</f>
        <v>N/A</v>
      </c>
      <c r="W802" s="284" t="str">
        <f ca="1">IFERROR(FDS(MO.Ticker.FactSet,"P_PRICE_LOW"&amp;"("&amp;INDEX(MO_SNA_FPStartDate,0,COLUMN())&amp;","&amp;INDEX(MO_Common_QEndDate,0,COLUMN())&amp;",,,,""PRICE"",""CLOSE"")"),"N/A")</f>
        <v>N/A</v>
      </c>
      <c r="X802" s="284" t="str">
        <f ca="1">IFERROR(FDS(MO.Ticker.FactSet,"P_PRICE_LOW"&amp;"("&amp;INDEX(MO_SNA_FPStartDate,0,COLUMN())&amp;","&amp;INDEX(MO_Common_QEndDate,0,COLUMN())&amp;",,,,""PRICE"",""CLOSE"")"),"N/A")</f>
        <v>N/A</v>
      </c>
      <c r="Y802" s="284" t="str">
        <f ca="1">IFERROR(FDS(MO.Ticker.FactSet,"P_PRICE_LOW"&amp;"("&amp;INDEX(MO_SNA_FPStartDate,0,COLUMN())&amp;","&amp;INDEX(MO_Common_QEndDate,0,COLUMN())&amp;",,,,""PRICE"",""CLOSE"")"),"N/A")</f>
        <v>N/A</v>
      </c>
      <c r="Z802" s="284" t="str">
        <f ca="1">IFERROR(FDS(MO.Ticker.FactSet,"P_PRICE_LOW"&amp;"("&amp;INDEX(MO_SNA_FPStartDate,0,COLUMN())&amp;","&amp;INDEX(MO_Common_QEndDate,0,COLUMN())&amp;",,,,""PRICE"",""CLOSE"")"),"N/A")</f>
        <v>N/A</v>
      </c>
      <c r="AA802" s="284" t="str">
        <f ca="1">IFERROR(FDS(MO.Ticker.FactSet,"P_PRICE_LOW"&amp;"("&amp;INDEX(MO_SNA_FPStartDate,0,COLUMN())&amp;","&amp;INDEX(MO_Common_QEndDate,0,COLUMN())&amp;",,,,""PRICE"",""CLOSE"")"),"N/A")</f>
        <v>N/A</v>
      </c>
      <c r="AB802" s="284" t="str">
        <f ca="1">IFERROR(FDS(MO.Ticker.FactSet,"P_PRICE_LOW"&amp;"("&amp;INDEX(MO_SNA_FPStartDate,0,COLUMN())&amp;","&amp;INDEX(MO_Common_QEndDate,0,COLUMN())&amp;",,,,""PRICE"",""CLOSE"")"),"N/A")</f>
        <v>N/A</v>
      </c>
      <c r="AC802" s="284" t="str">
        <f ca="1">IFERROR(FDS(MO.Ticker.FactSet,"P_PRICE_LOW"&amp;"("&amp;INDEX(MO_SNA_FPStartDate,0,COLUMN())&amp;","&amp;INDEX(MO_Common_QEndDate,0,COLUMN())&amp;",,,,""PRICE"",""CLOSE"")"),"N/A")</f>
        <v>N/A</v>
      </c>
      <c r="AD802" s="284" t="str">
        <f ca="1">IFERROR(FDS(MO.Ticker.FactSet,"P_PRICE_LOW"&amp;"("&amp;INDEX(MO_SNA_FPStartDate,0,COLUMN())&amp;","&amp;INDEX(MO_Common_QEndDate,0,COLUMN())&amp;",,,,""PRICE"",""CLOSE"")"),"N/A")</f>
        <v>N/A</v>
      </c>
      <c r="AE802" s="284" t="str">
        <f ca="1">IFERROR(FDS(MO.Ticker.FactSet,"P_PRICE_LOW"&amp;"("&amp;INDEX(MO_SNA_FPStartDate,0,COLUMN())&amp;","&amp;INDEX(MO_Common_QEndDate,0,COLUMN())&amp;",,,,""PRICE"",""CLOSE"")"),"N/A")</f>
        <v>N/A</v>
      </c>
      <c r="AF802" s="284" t="str">
        <f ca="1">IFERROR(FDS(MO.Ticker.FactSet,"P_PRICE_LOW"&amp;"("&amp;INDEX(MO_SNA_FPStartDate,0,COLUMN())&amp;","&amp;INDEX(MO_Common_QEndDate,0,COLUMN())&amp;",,,,""PRICE"",""CLOSE"")"),"N/A")</f>
        <v>N/A</v>
      </c>
      <c r="AG802" s="284" t="str">
        <f ca="1">IFERROR(FDS(MO.Ticker.FactSet,"P_PRICE_LOW"&amp;"("&amp;INDEX(MO_SNA_FPStartDate,0,COLUMN())&amp;","&amp;INDEX(MO_Common_QEndDate,0,COLUMN())&amp;",,,,""PRICE"",""CLOSE"")"),"N/A")</f>
        <v>N/A</v>
      </c>
      <c r="AH802" s="284" t="str">
        <f ca="1">IFERROR(FDS(MO.Ticker.FactSet,"P_PRICE_LOW"&amp;"("&amp;INDEX(MO_SNA_FPStartDate,0,COLUMN())&amp;","&amp;INDEX(MO_Common_QEndDate,0,COLUMN())&amp;",,,,""PRICE"",""CLOSE"")"),"N/A")</f>
        <v>N/A</v>
      </c>
      <c r="AI802" s="284" t="str">
        <f ca="1">IFERROR(FDS(MO.Ticker.FactSet,"P_PRICE_LOW"&amp;"("&amp;INDEX(MO_SNA_FPStartDate,0,COLUMN())&amp;","&amp;INDEX(MO_Common_QEndDate,0,COLUMN())&amp;",,,,""PRICE"",""CLOSE"")"),"N/A")</f>
        <v>N/A</v>
      </c>
      <c r="AJ802" s="284" t="str">
        <f ca="1">IFERROR(FDS(MO.Ticker.FactSet,"P_PRICE_LOW"&amp;"("&amp;INDEX(MO_SNA_FPStartDate,0,COLUMN())&amp;","&amp;INDEX(MO_Common_QEndDate,0,COLUMN())&amp;",,,,""PRICE"",""CLOSE"")"),"N/A")</f>
        <v>N/A</v>
      </c>
      <c r="AK802" s="284" t="str">
        <f ca="1">IFERROR(FDS(MO.Ticker.FactSet,"P_PRICE_LOW"&amp;"("&amp;INDEX(MO_SNA_FPStartDate,0,COLUMN())&amp;","&amp;INDEX(MO_Common_QEndDate,0,COLUMN())&amp;",,,,""PRICE"",""CLOSE"")"),"N/A")</f>
        <v>N/A</v>
      </c>
      <c r="AL802" s="284" t="str">
        <f ca="1">IFERROR(FDS(MO.Ticker.FactSet,"P_PRICE_LOW"&amp;"("&amp;INDEX(MO_SNA_FPStartDate,0,COLUMN())&amp;","&amp;INDEX(MO_Common_QEndDate,0,COLUMN())&amp;",,,,""PRICE"",""CLOSE"")"),"N/A")</f>
        <v>N/A</v>
      </c>
      <c r="AM802" s="284" t="str">
        <f ca="1">IFERROR(FDS(MO.Ticker.FactSet,"P_PRICE_LOW"&amp;"("&amp;INDEX(MO_SNA_FPStartDate,0,COLUMN())&amp;","&amp;INDEX(MO_Common_QEndDate,0,COLUMN())&amp;",,,,""PRICE"",""CLOSE"")"),"N/A")</f>
        <v>N/A</v>
      </c>
      <c r="AN802" s="284" t="str">
        <f ca="1">IFERROR(FDS(MO.Ticker.FactSet,"P_PRICE_LOW"&amp;"("&amp;INDEX(MO_SNA_FPStartDate,0,COLUMN())&amp;","&amp;INDEX(MO_Common_QEndDate,0,COLUMN())&amp;",,,,""PRICE"",""CLOSE"")"),"N/A")</f>
        <v>N/A</v>
      </c>
      <c r="AO802" s="284" t="str">
        <f ca="1">IFERROR(FDS(MO.Ticker.FactSet,"P_PRICE_LOW"&amp;"("&amp;INDEX(MO_SNA_FPStartDate,0,COLUMN())&amp;","&amp;INDEX(MO_Common_QEndDate,0,COLUMN())&amp;",,,,""PRICE"",""CLOSE"")"),"N/A")</f>
        <v>N/A</v>
      </c>
      <c r="AP802" s="284" t="str">
        <f ca="1">IFERROR(FDS(MO.Ticker.FactSet,"P_PRICE_LOW"&amp;"("&amp;INDEX(MO_SNA_FPStartDate,0,COLUMN())&amp;","&amp;INDEX(MO_Common_QEndDate,0,COLUMN())&amp;",,,,""PRICE"",""CLOSE"")"),"N/A")</f>
        <v>N/A</v>
      </c>
      <c r="AQ802" s="284" t="str">
        <f ca="1">IFERROR(FDS(MO.Ticker.FactSet,"P_PRICE_LOW"&amp;"("&amp;INDEX(MO_SNA_FPStartDate,0,COLUMN())&amp;","&amp;INDEX(MO_Common_QEndDate,0,COLUMN())&amp;",,,,""PRICE"",""CLOSE"")"),"N/A")</f>
        <v>N/A</v>
      </c>
      <c r="AR802" s="284" t="str">
        <f ca="1">IFERROR(FDS(MO.Ticker.FactSet,"P_PRICE_LOW"&amp;"("&amp;INDEX(MO_SNA_FPStartDate,0,COLUMN())&amp;","&amp;INDEX(MO_Common_QEndDate,0,COLUMN())&amp;",,,,""PRICE"",""CLOSE"")"),"N/A")</f>
        <v>N/A</v>
      </c>
      <c r="AS802" s="284" t="str">
        <f ca="1">IFERROR(FDS(MO.Ticker.FactSet,"P_PRICE_LOW"&amp;"("&amp;INDEX(MO_SNA_FPStartDate,0,COLUMN())&amp;","&amp;INDEX(MO_Common_QEndDate,0,COLUMN())&amp;",,,,""PRICE"",""CLOSE"")"),"N/A")</f>
        <v>N/A</v>
      </c>
      <c r="AT802" s="284" t="str">
        <f ca="1">IFERROR(FDS(MO.Ticker.FactSet,"P_PRICE_LOW"&amp;"("&amp;INDEX(MO_SNA_FPStartDate,0,COLUMN())&amp;","&amp;INDEX(MO_Common_QEndDate,0,COLUMN())&amp;",,,,""PRICE"",""CLOSE"")"),"N/A")</f>
        <v>N/A</v>
      </c>
      <c r="AU802" s="284" t="str">
        <f ca="1">IFERROR(FDS(MO.Ticker.FactSet,"P_PRICE_LOW"&amp;"("&amp;INDEX(MO_SNA_FPStartDate,0,COLUMN())&amp;","&amp;INDEX(MO_Common_QEndDate,0,COLUMN())&amp;",,,,""PRICE"",""CLOSE"")"),"N/A")</f>
        <v>N/A</v>
      </c>
      <c r="AV802" s="284" t="str">
        <f ca="1">IFERROR(FDS(MO.Ticker.FactSet,"P_PRICE_LOW"&amp;"("&amp;INDEX(MO_SNA_FPStartDate,0,COLUMN())&amp;","&amp;INDEX(MO_Common_QEndDate,0,COLUMN())&amp;",,,,""PRICE"",""CLOSE"")"),"N/A")</f>
        <v>N/A</v>
      </c>
      <c r="AW802" s="284" t="str">
        <f ca="1">IFERROR(FDS(MO.Ticker.FactSet,"P_PRICE_LOW"&amp;"("&amp;INDEX(MO_SNA_FPStartDate,0,COLUMN())&amp;","&amp;INDEX(MO_Common_QEndDate,0,COLUMN())&amp;",,,,""PRICE"",""CLOSE"")"),"N/A")</f>
        <v>N/A</v>
      </c>
      <c r="AX802" s="284" t="str">
        <f ca="1">IFERROR(FDS(MO.Ticker.FactSet,"P_PRICE_LOW"&amp;"("&amp;INDEX(MO_SNA_FPStartDate,0,COLUMN())&amp;","&amp;INDEX(MO_Common_QEndDate,0,COLUMN())&amp;",,,,""PRICE"",""CLOSE"")"),"N/A")</f>
        <v>N/A</v>
      </c>
      <c r="AY802" s="284" t="str">
        <f ca="1">IFERROR(FDS(MO.Ticker.FactSet,"P_PRICE_LOW"&amp;"("&amp;INDEX(MO_SNA_FPStartDate,0,COLUMN())&amp;","&amp;INDEX(MO_Common_QEndDate,0,COLUMN())&amp;",,,,""PRICE"",""CLOSE"")"),"N/A")</f>
        <v>N/A</v>
      </c>
      <c r="AZ802" s="284" t="str">
        <f ca="1">IFERROR(FDS(MO.Ticker.FactSet,"P_PRICE_LOW"&amp;"("&amp;INDEX(MO_SNA_FPStartDate,0,COLUMN())&amp;","&amp;INDEX(MO_Common_QEndDate,0,COLUMN())&amp;",,,,""PRICE"",""CLOSE"")"),"N/A")</f>
        <v>N/A</v>
      </c>
      <c r="BA802" s="284" t="str">
        <f ca="1">IFERROR(FDS(MO.Ticker.FactSet,"P_PRICE_LOW"&amp;"("&amp;INDEX(MO_SNA_FPStartDate,0,COLUMN())&amp;","&amp;INDEX(MO_Common_QEndDate,0,COLUMN())&amp;",,,,""PRICE"",""CLOSE"")"),"N/A")</f>
        <v>N/A</v>
      </c>
      <c r="BB802" s="284" t="str">
        <f ca="1">IFERROR(FDS(MO.Ticker.FactSet,"P_PRICE_LOW"&amp;"("&amp;INDEX(MO_SNA_FPStartDate,0,COLUMN())&amp;","&amp;INDEX(MO_Common_QEndDate,0,COLUMN())&amp;",,,,""PRICE"",""CLOSE"")"),"N/A")</f>
        <v>N/A</v>
      </c>
      <c r="BC802" s="284" t="str">
        <f ca="1">IFERROR(FDS(MO.Ticker.FactSet,"P_PRICE_LOW"&amp;"("&amp;INDEX(MO_SNA_FPStartDate,0,COLUMN())&amp;","&amp;INDEX(MO_Common_QEndDate,0,COLUMN())&amp;",,,,""PRICE"",""CLOSE"")"),"N/A")</f>
        <v>N/A</v>
      </c>
      <c r="BD802" s="284" t="str">
        <f ca="1">IFERROR(FDS(MO.Ticker.FactSet,"P_PRICE_LOW"&amp;"("&amp;INDEX(MO_SNA_FPStartDate,0,COLUMN())&amp;","&amp;INDEX(MO_Common_QEndDate,0,COLUMN())&amp;",,,,""PRICE"",""CLOSE"")"),"N/A")</f>
        <v>N/A</v>
      </c>
      <c r="BE802" s="284" t="str">
        <f ca="1">IFERROR(FDS(MO.Ticker.FactSet,"P_PRICE_LOW"&amp;"("&amp;INDEX(MO_SNA_FPStartDate,0,COLUMN())&amp;","&amp;INDEX(MO_Common_QEndDate,0,COLUMN())&amp;",,,,""PRICE"",""CLOSE"")"),"N/A")</f>
        <v>N/A</v>
      </c>
      <c r="BF802" s="284" t="str">
        <f ca="1">IFERROR(FDS(MO.Ticker.FactSet,"P_PRICE_LOW"&amp;"("&amp;INDEX(MO_SNA_FPStartDate,0,COLUMN())&amp;","&amp;INDEX(MO_Common_QEndDate,0,COLUMN())&amp;",,,,""PRICE"",""CLOSE"")"),"N/A")</f>
        <v>N/A</v>
      </c>
      <c r="BG802" s="284" t="str">
        <f ca="1">IFERROR(FDS(MO.Ticker.FactSet,"P_PRICE_LOW"&amp;"("&amp;INDEX(MO_SNA_FPStartDate,0,COLUMN())&amp;","&amp;INDEX(MO_Common_QEndDate,0,COLUMN())&amp;",,,,""PRICE"",""CLOSE"")"),"N/A")</f>
        <v>N/A</v>
      </c>
      <c r="BH802" s="561" t="str">
        <f ca="1">IFERROR(FDS(MO.Ticker.FactSet,"P_PRICE_LOW"&amp;"("&amp;INDEX(MO_SNA_FPStartDate,0,COLUMN())&amp;","&amp;INDEX(MO_Common_QEndDate,0,COLUMN())&amp;",,,,""PRICE"",""CLOSE"")"),"N/A")</f>
        <v>N/A</v>
      </c>
      <c r="BI802" s="284" t="str">
        <f ca="1">IFERROR(FDS(MO.Ticker.FactSet,"P_PRICE_LOW"&amp;"("&amp;INDEX(MO_SNA_FPStartDate,0,COLUMN())&amp;","&amp;INDEX(MO_Common_QEndDate,0,COLUMN())&amp;",,,,""PRICE"",""CLOSE"")"),"N/A")</f>
        <v>N/A</v>
      </c>
      <c r="BJ802" s="284" t="str">
        <f ca="1">IFERROR(FDS(MO.Ticker.FactSet,"P_PRICE_LOW"&amp;"("&amp;INDEX(MO_SNA_FPStartDate,0,COLUMN())&amp;","&amp;INDEX(MO_Common_QEndDate,0,COLUMN())&amp;",,,,""PRICE"",""CLOSE"")"),"N/A")</f>
        <v>N/A</v>
      </c>
      <c r="BK802" s="284" t="str">
        <f ca="1">IFERROR(FDS(MO.Ticker.FactSet,"P_PRICE_LOW"&amp;"("&amp;INDEX(MO_SNA_FPStartDate,0,COLUMN())&amp;","&amp;INDEX(MO_Common_QEndDate,0,COLUMN())&amp;",,,,""PRICE"",""CLOSE"")"),"N/A")</f>
        <v>N/A</v>
      </c>
      <c r="BL802" s="284" t="str">
        <f ca="1">IFERROR(FDS(MO.Ticker.FactSet,"P_PRICE_LOW"&amp;"("&amp;INDEX(MO_SNA_FPStartDate,0,COLUMN())&amp;","&amp;INDEX(MO_Common_QEndDate,0,COLUMN())&amp;",,,,""PRICE"",""CLOSE"")"),"N/A")</f>
        <v>N/A</v>
      </c>
      <c r="BM802" s="284" t="str">
        <f ca="1">IFERROR(FDS(MO.Ticker.FactSet,"P_PRICE_LOW"&amp;"("&amp;INDEX(MO_SNA_FPStartDate,0,COLUMN())&amp;","&amp;INDEX(MO_Common_QEndDate,0,COLUMN())&amp;",,,,""PRICE"",""CLOSE"")"),"N/A")</f>
        <v>N/A</v>
      </c>
      <c r="BN802" s="284" t="str">
        <f ca="1">IFERROR(FDS(MO.Ticker.FactSet,"P_PRICE_LOW"&amp;"("&amp;INDEX(MO_SNA_FPStartDate,0,COLUMN())&amp;","&amp;INDEX(MO_Common_QEndDate,0,COLUMN())&amp;",,,,""PRICE"",""CLOSE"")"),"N/A")</f>
        <v>N/A</v>
      </c>
      <c r="BO802" s="284" t="str">
        <f ca="1">IFERROR(FDS(MO.Ticker.FactSet,"P_PRICE_LOW"&amp;"("&amp;INDEX(MO_SNA_FPStartDate,0,COLUMN())&amp;","&amp;INDEX(MO_Common_QEndDate,0,COLUMN())&amp;",,,,""PRICE"",""CLOSE"")"),"N/A")</f>
        <v>N/A</v>
      </c>
      <c r="BP802" s="284" t="str">
        <f ca="1">IFERROR(FDS(MO.Ticker.FactSet,"P_PRICE_LOW"&amp;"("&amp;INDEX(MO_SNA_FPStartDate,0,COLUMN())&amp;","&amp;INDEX(MO_Common_QEndDate,0,COLUMN())&amp;",,,,""PRICE"",""CLOSE"")"),"N/A")</f>
        <v>N/A</v>
      </c>
      <c r="BQ802" s="284" t="str">
        <f ca="1">IFERROR(FDS(MO.Ticker.FactSet,"P_PRICE_LOW"&amp;"("&amp;INDEX(MO_SNA_FPStartDate,0,COLUMN())&amp;","&amp;INDEX(MO_Common_QEndDate,0,COLUMN())&amp;",,,,""PRICE"",""CLOSE"")"),"N/A")</f>
        <v>N/A</v>
      </c>
      <c r="BR802" s="286" t="str">
        <f ca="1">IFERROR(FDS(MO.Ticker.FactSet,"P_PRICE_LOW"&amp;"("&amp;INDEX(MO_SNA_FPStartDate,0,COLUMN())&amp;","&amp;INDEX(MO_Common_QEndDate,0,COLUMN())&amp;",,,,""PRICE"",""CLOSE"")"),"N/A")</f>
        <v>N/A</v>
      </c>
      <c r="BS802" s="348"/>
    </row>
    <row r="803" spans="1:71" s="288" customFormat="1" ht="15" hidden="1" outlineLevel="1">
      <c r="A803" s="289" t="s">
        <v>540</v>
      </c>
      <c r="B803" s="284"/>
      <c r="C803" s="285" t="str">
        <f ca="1">IFERROR(_xll.TR(MO.Ticker.Thomson,"Min(TR.PriceLow)","sdate:#1 edate:#2",,INDEX(MO_SNA_FPStartDate,0,COLUMN()),INDEX(MO_Common_QEndDate,0,COLUMN())),"N/A")</f>
        <v>N/A</v>
      </c>
      <c r="D803" s="285" t="str">
        <f ca="1">IFERROR(_xll.TR(MO.Ticker.Thomson,"Min(TR.PriceLow)","sdate:#1 edate:#2",,INDEX(MO_SNA_FPStartDate,0,COLUMN()),INDEX(MO_Common_QEndDate,0,COLUMN())),"N/A")</f>
        <v>N/A</v>
      </c>
      <c r="E803" s="284" t="str">
        <f ca="1">IFERROR(_xll.TR(MO.Ticker.Thomson,"Min(TR.PriceLow)","sdate:#1 edate:#2",,INDEX(MO_SNA_FPStartDate,0,COLUMN()),INDEX(MO_Common_QEndDate,0,COLUMN())),"N/A")</f>
        <v>N/A</v>
      </c>
      <c r="F803" s="284" t="str">
        <f ca="1">IFERROR(_xll.TR(MO.Ticker.Thomson,"Min(TR.PriceLow)","sdate:#1 edate:#2",,INDEX(MO_SNA_FPStartDate,0,COLUMN()),INDEX(MO_Common_QEndDate,0,COLUMN())),"N/A")</f>
        <v>N/A</v>
      </c>
      <c r="G803" s="284" t="str">
        <f ca="1">IFERROR(_xll.TR(MO.Ticker.Thomson,"Min(TR.PriceLow)","sdate:#1 edate:#2",,INDEX(MO_SNA_FPStartDate,0,COLUMN()),INDEX(MO_Common_QEndDate,0,COLUMN())),"N/A")</f>
        <v>N/A</v>
      </c>
      <c r="H803" s="284" t="str">
        <f ca="1">IFERROR(_xll.TR(MO.Ticker.Thomson,"Min(TR.PriceLow)","sdate:#1 edate:#2",,INDEX(MO_SNA_FPStartDate,0,COLUMN()),INDEX(MO_Common_QEndDate,0,COLUMN())),"N/A")</f>
        <v>N/A</v>
      </c>
      <c r="I803" s="284" t="str">
        <f ca="1">IFERROR(_xll.TR(MO.Ticker.Thomson,"Min(TR.PriceLow)","sdate:#1 edate:#2",,INDEX(MO_SNA_FPStartDate,0,COLUMN()),INDEX(MO_Common_QEndDate,0,COLUMN())),"N/A")</f>
        <v>N/A</v>
      </c>
      <c r="J803" s="284" t="str">
        <f ca="1">IFERROR(_xll.TR(MO.Ticker.Thomson,"Min(TR.PriceLow)","sdate:#1 edate:#2",,INDEX(MO_SNA_FPStartDate,0,COLUMN()),INDEX(MO_Common_QEndDate,0,COLUMN())),"N/A")</f>
        <v>N/A</v>
      </c>
      <c r="K803" s="284" t="str">
        <f ca="1">IFERROR(_xll.TR(MO.Ticker.Thomson,"Min(TR.PriceLow)","sdate:#1 edate:#2",,INDEX(MO_SNA_FPStartDate,0,COLUMN()),INDEX(MO_Common_QEndDate,0,COLUMN())),"N/A")</f>
        <v>N/A</v>
      </c>
      <c r="L803" s="284" t="str">
        <f ca="1">IFERROR(_xll.TR(MO.Ticker.Thomson,"Min(TR.PriceLow)","sdate:#1 edate:#2",,INDEX(MO_SNA_FPStartDate,0,COLUMN()),INDEX(MO_Common_QEndDate,0,COLUMN())),"N/A")</f>
        <v>N/A</v>
      </c>
      <c r="M803" s="284" t="str">
        <f ca="1">IFERROR(_xll.TR(MO.Ticker.Thomson,"Min(TR.PriceLow)","sdate:#1 edate:#2",,INDEX(MO_SNA_FPStartDate,0,COLUMN()),INDEX(MO_Common_QEndDate,0,COLUMN())),"N/A")</f>
        <v>N/A</v>
      </c>
      <c r="N803" s="284" t="str">
        <f ca="1">IFERROR(_xll.TR(MO.Ticker.Thomson,"Min(TR.PriceLow)","sdate:#1 edate:#2",,INDEX(MO_SNA_FPStartDate,0,COLUMN()),INDEX(MO_Common_QEndDate,0,COLUMN())),"N/A")</f>
        <v>N/A</v>
      </c>
      <c r="O803" s="284" t="str">
        <f ca="1">IFERROR(_xll.TR(MO.Ticker.Thomson,"Min(TR.PriceLow)","sdate:#1 edate:#2",,INDEX(MO_SNA_FPStartDate,0,COLUMN()),INDEX(MO_Common_QEndDate,0,COLUMN())),"N/A")</f>
        <v>N/A</v>
      </c>
      <c r="P803" s="284" t="str">
        <f ca="1">IFERROR(_xll.TR(MO.Ticker.Thomson,"Min(TR.PriceLow)","sdate:#1 edate:#2",,INDEX(MO_SNA_FPStartDate,0,COLUMN()),INDEX(MO_Common_QEndDate,0,COLUMN())),"N/A")</f>
        <v>N/A</v>
      </c>
      <c r="Q803" s="284" t="str">
        <f ca="1">IFERROR(_xll.TR(MO.Ticker.Thomson,"Min(TR.PriceLow)","sdate:#1 edate:#2",,INDEX(MO_SNA_FPStartDate,0,COLUMN()),INDEX(MO_Common_QEndDate,0,COLUMN())),"N/A")</f>
        <v>N/A</v>
      </c>
      <c r="R803" s="284" t="str">
        <f ca="1">IFERROR(_xll.TR(MO.Ticker.Thomson,"Min(TR.PriceLow)","sdate:#1 edate:#2",,INDEX(MO_SNA_FPStartDate,0,COLUMN()),INDEX(MO_Common_QEndDate,0,COLUMN())),"N/A")</f>
        <v>N/A</v>
      </c>
      <c r="S803" s="284" t="str">
        <f ca="1">IFERROR(_xll.TR(MO.Ticker.Thomson,"Min(TR.PriceLow)","sdate:#1 edate:#2",,INDEX(MO_SNA_FPStartDate,0,COLUMN()),INDEX(MO_Common_QEndDate,0,COLUMN())),"N/A")</f>
        <v>N/A</v>
      </c>
      <c r="T803" s="284" t="str">
        <f ca="1">IFERROR(_xll.TR(MO.Ticker.Thomson,"Min(TR.PriceLow)","sdate:#1 edate:#2",,INDEX(MO_SNA_FPStartDate,0,COLUMN()),INDEX(MO_Common_QEndDate,0,COLUMN())),"N/A")</f>
        <v>N/A</v>
      </c>
      <c r="U803" s="284" t="str">
        <f ca="1">IFERROR(_xll.TR(MO.Ticker.Thomson,"Min(TR.PriceLow)","sdate:#1 edate:#2",,INDEX(MO_SNA_FPStartDate,0,COLUMN()),INDEX(MO_Common_QEndDate,0,COLUMN())),"N/A")</f>
        <v>N/A</v>
      </c>
      <c r="V803" s="284" t="str">
        <f ca="1">IFERROR(_xll.TR(MO.Ticker.Thomson,"Min(TR.PriceLow)","sdate:#1 edate:#2",,INDEX(MO_SNA_FPStartDate,0,COLUMN()),INDEX(MO_Common_QEndDate,0,COLUMN())),"N/A")</f>
        <v>N/A</v>
      </c>
      <c r="W803" s="284" t="str">
        <f ca="1">IFERROR(_xll.TR(MO.Ticker.Thomson,"Min(TR.PriceLow)","sdate:#1 edate:#2",,INDEX(MO_SNA_FPStartDate,0,COLUMN()),INDEX(MO_Common_QEndDate,0,COLUMN())),"N/A")</f>
        <v>N/A</v>
      </c>
      <c r="X803" s="284" t="str">
        <f ca="1">IFERROR(_xll.TR(MO.Ticker.Thomson,"Min(TR.PriceLow)","sdate:#1 edate:#2",,INDEX(MO_SNA_FPStartDate,0,COLUMN()),INDEX(MO_Common_QEndDate,0,COLUMN())),"N/A")</f>
        <v>N/A</v>
      </c>
      <c r="Y803" s="284" t="str">
        <f ca="1">IFERROR(_xll.TR(MO.Ticker.Thomson,"Min(TR.PriceLow)","sdate:#1 edate:#2",,INDEX(MO_SNA_FPStartDate,0,COLUMN()),INDEX(MO_Common_QEndDate,0,COLUMN())),"N/A")</f>
        <v>N/A</v>
      </c>
      <c r="Z803" s="284" t="str">
        <f ca="1">IFERROR(_xll.TR(MO.Ticker.Thomson,"Min(TR.PriceLow)","sdate:#1 edate:#2",,INDEX(MO_SNA_FPStartDate,0,COLUMN()),INDEX(MO_Common_QEndDate,0,COLUMN())),"N/A")</f>
        <v>N/A</v>
      </c>
      <c r="AA803" s="284" t="str">
        <f ca="1">IFERROR(_xll.TR(MO.Ticker.Thomson,"Min(TR.PriceLow)","sdate:#1 edate:#2",,INDEX(MO_SNA_FPStartDate,0,COLUMN()),INDEX(MO_Common_QEndDate,0,COLUMN())),"N/A")</f>
        <v>N/A</v>
      </c>
      <c r="AB803" s="284" t="str">
        <f ca="1">IFERROR(_xll.TR(MO.Ticker.Thomson,"Min(TR.PriceLow)","sdate:#1 edate:#2",,INDEX(MO_SNA_FPStartDate,0,COLUMN()),INDEX(MO_Common_QEndDate,0,COLUMN())),"N/A")</f>
        <v>N/A</v>
      </c>
      <c r="AC803" s="284" t="str">
        <f ca="1">IFERROR(_xll.TR(MO.Ticker.Thomson,"Min(TR.PriceLow)","sdate:#1 edate:#2",,INDEX(MO_SNA_FPStartDate,0,COLUMN()),INDEX(MO_Common_QEndDate,0,COLUMN())),"N/A")</f>
        <v>N/A</v>
      </c>
      <c r="AD803" s="284" t="str">
        <f ca="1">IFERROR(_xll.TR(MO.Ticker.Thomson,"Min(TR.PriceLow)","sdate:#1 edate:#2",,INDEX(MO_SNA_FPStartDate,0,COLUMN()),INDEX(MO_Common_QEndDate,0,COLUMN())),"N/A")</f>
        <v>N/A</v>
      </c>
      <c r="AE803" s="284" t="str">
        <f ca="1">IFERROR(_xll.TR(MO.Ticker.Thomson,"Min(TR.PriceLow)","sdate:#1 edate:#2",,INDEX(MO_SNA_FPStartDate,0,COLUMN()),INDEX(MO_Common_QEndDate,0,COLUMN())),"N/A")</f>
        <v>N/A</v>
      </c>
      <c r="AF803" s="284" t="str">
        <f ca="1">IFERROR(_xll.TR(MO.Ticker.Thomson,"Min(TR.PriceLow)","sdate:#1 edate:#2",,INDEX(MO_SNA_FPStartDate,0,COLUMN()),INDEX(MO_Common_QEndDate,0,COLUMN())),"N/A")</f>
        <v>N/A</v>
      </c>
      <c r="AG803" s="284" t="str">
        <f ca="1">IFERROR(_xll.TR(MO.Ticker.Thomson,"Min(TR.PriceLow)","sdate:#1 edate:#2",,INDEX(MO_SNA_FPStartDate,0,COLUMN()),INDEX(MO_Common_QEndDate,0,COLUMN())),"N/A")</f>
        <v>N/A</v>
      </c>
      <c r="AH803" s="284" t="str">
        <f ca="1">IFERROR(_xll.TR(MO.Ticker.Thomson,"Min(TR.PriceLow)","sdate:#1 edate:#2",,INDEX(MO_SNA_FPStartDate,0,COLUMN()),INDEX(MO_Common_QEndDate,0,COLUMN())),"N/A")</f>
        <v>N/A</v>
      </c>
      <c r="AI803" s="284" t="str">
        <f ca="1">IFERROR(_xll.TR(MO.Ticker.Thomson,"Min(TR.PriceLow)","sdate:#1 edate:#2",,INDEX(MO_SNA_FPStartDate,0,COLUMN()),INDEX(MO_Common_QEndDate,0,COLUMN())),"N/A")</f>
        <v>N/A</v>
      </c>
      <c r="AJ803" s="284" t="str">
        <f ca="1">IFERROR(_xll.TR(MO.Ticker.Thomson,"Min(TR.PriceLow)","sdate:#1 edate:#2",,INDEX(MO_SNA_FPStartDate,0,COLUMN()),INDEX(MO_Common_QEndDate,0,COLUMN())),"N/A")</f>
        <v>N/A</v>
      </c>
      <c r="AK803" s="284" t="str">
        <f ca="1">IFERROR(_xll.TR(MO.Ticker.Thomson,"Min(TR.PriceLow)","sdate:#1 edate:#2",,INDEX(MO_SNA_FPStartDate,0,COLUMN()),INDEX(MO_Common_QEndDate,0,COLUMN())),"N/A")</f>
        <v>N/A</v>
      </c>
      <c r="AL803" s="284" t="str">
        <f ca="1">IFERROR(_xll.TR(MO.Ticker.Thomson,"Min(TR.PriceLow)","sdate:#1 edate:#2",,INDEX(MO_SNA_FPStartDate,0,COLUMN()),INDEX(MO_Common_QEndDate,0,COLUMN())),"N/A")</f>
        <v>N/A</v>
      </c>
      <c r="AM803" s="284" t="str">
        <f ca="1">IFERROR(_xll.TR(MO.Ticker.Thomson,"Min(TR.PriceLow)","sdate:#1 edate:#2",,INDEX(MO_SNA_FPStartDate,0,COLUMN()),INDEX(MO_Common_QEndDate,0,COLUMN())),"N/A")</f>
        <v>N/A</v>
      </c>
      <c r="AN803" s="284" t="str">
        <f ca="1">IFERROR(_xll.TR(MO.Ticker.Thomson,"Min(TR.PriceLow)","sdate:#1 edate:#2",,INDEX(MO_SNA_FPStartDate,0,COLUMN()),INDEX(MO_Common_QEndDate,0,COLUMN())),"N/A")</f>
        <v>N/A</v>
      </c>
      <c r="AO803" s="284" t="str">
        <f ca="1">IFERROR(_xll.TR(MO.Ticker.Thomson,"Min(TR.PriceLow)","sdate:#1 edate:#2",,INDEX(MO_SNA_FPStartDate,0,COLUMN()),INDEX(MO_Common_QEndDate,0,COLUMN())),"N/A")</f>
        <v>N/A</v>
      </c>
      <c r="AP803" s="284" t="str">
        <f ca="1">IFERROR(_xll.TR(MO.Ticker.Thomson,"Min(TR.PriceLow)","sdate:#1 edate:#2",,INDEX(MO_SNA_FPStartDate,0,COLUMN()),INDEX(MO_Common_QEndDate,0,COLUMN())),"N/A")</f>
        <v>N/A</v>
      </c>
      <c r="AQ803" s="284" t="str">
        <f ca="1">IFERROR(_xll.TR(MO.Ticker.Thomson,"Min(TR.PriceLow)","sdate:#1 edate:#2",,INDEX(MO_SNA_FPStartDate,0,COLUMN()),INDEX(MO_Common_QEndDate,0,COLUMN())),"N/A")</f>
        <v>N/A</v>
      </c>
      <c r="AR803" s="284" t="str">
        <f ca="1">IFERROR(_xll.TR(MO.Ticker.Thomson,"Min(TR.PriceLow)","sdate:#1 edate:#2",,INDEX(MO_SNA_FPStartDate,0,COLUMN()),INDEX(MO_Common_QEndDate,0,COLUMN())),"N/A")</f>
        <v>N/A</v>
      </c>
      <c r="AS803" s="284" t="str">
        <f ca="1">IFERROR(_xll.TR(MO.Ticker.Thomson,"Min(TR.PriceLow)","sdate:#1 edate:#2",,INDEX(MO_SNA_FPStartDate,0,COLUMN()),INDEX(MO_Common_QEndDate,0,COLUMN())),"N/A")</f>
        <v>N/A</v>
      </c>
      <c r="AT803" s="284" t="str">
        <f ca="1">IFERROR(_xll.TR(MO.Ticker.Thomson,"Min(TR.PriceLow)","sdate:#1 edate:#2",,INDEX(MO_SNA_FPStartDate,0,COLUMN()),INDEX(MO_Common_QEndDate,0,COLUMN())),"N/A")</f>
        <v>N/A</v>
      </c>
      <c r="AU803" s="284" t="str">
        <f ca="1">IFERROR(_xll.TR(MO.Ticker.Thomson,"Min(TR.PriceLow)","sdate:#1 edate:#2",,INDEX(MO_SNA_FPStartDate,0,COLUMN()),INDEX(MO_Common_QEndDate,0,COLUMN())),"N/A")</f>
        <v>N/A</v>
      </c>
      <c r="AV803" s="284" t="str">
        <f ca="1">IFERROR(_xll.TR(MO.Ticker.Thomson,"Min(TR.PriceLow)","sdate:#1 edate:#2",,INDEX(MO_SNA_FPStartDate,0,COLUMN()),INDEX(MO_Common_QEndDate,0,COLUMN())),"N/A")</f>
        <v>N/A</v>
      </c>
      <c r="AW803" s="284" t="str">
        <f ca="1">IFERROR(_xll.TR(MO.Ticker.Thomson,"Min(TR.PriceLow)","sdate:#1 edate:#2",,INDEX(MO_SNA_FPStartDate,0,COLUMN()),INDEX(MO_Common_QEndDate,0,COLUMN())),"N/A")</f>
        <v>N/A</v>
      </c>
      <c r="AX803" s="284" t="str">
        <f ca="1">IFERROR(_xll.TR(MO.Ticker.Thomson,"Min(TR.PriceLow)","sdate:#1 edate:#2",,INDEX(MO_SNA_FPStartDate,0,COLUMN()),INDEX(MO_Common_QEndDate,0,COLUMN())),"N/A")</f>
        <v>N/A</v>
      </c>
      <c r="AY803" s="284" t="str">
        <f ca="1">IFERROR(_xll.TR(MO.Ticker.Thomson,"Min(TR.PriceLow)","sdate:#1 edate:#2",,INDEX(MO_SNA_FPStartDate,0,COLUMN()),INDEX(MO_Common_QEndDate,0,COLUMN())),"N/A")</f>
        <v>N/A</v>
      </c>
      <c r="AZ803" s="284" t="str">
        <f ca="1">IFERROR(_xll.TR(MO.Ticker.Thomson,"Min(TR.PriceLow)","sdate:#1 edate:#2",,INDEX(MO_SNA_FPStartDate,0,COLUMN()),INDEX(MO_Common_QEndDate,0,COLUMN())),"N/A")</f>
        <v>N/A</v>
      </c>
      <c r="BA803" s="284" t="str">
        <f ca="1">IFERROR(_xll.TR(MO.Ticker.Thomson,"Min(TR.PriceLow)","sdate:#1 edate:#2",,INDEX(MO_SNA_FPStartDate,0,COLUMN()),INDEX(MO_Common_QEndDate,0,COLUMN())),"N/A")</f>
        <v>N/A</v>
      </c>
      <c r="BB803" s="284" t="str">
        <f ca="1">IFERROR(_xll.TR(MO.Ticker.Thomson,"Min(TR.PriceLow)","sdate:#1 edate:#2",,INDEX(MO_SNA_FPStartDate,0,COLUMN()),INDEX(MO_Common_QEndDate,0,COLUMN())),"N/A")</f>
        <v>N/A</v>
      </c>
      <c r="BC803" s="284" t="str">
        <f ca="1">IFERROR(_xll.TR(MO.Ticker.Thomson,"Min(TR.PriceLow)","sdate:#1 edate:#2",,INDEX(MO_SNA_FPStartDate,0,COLUMN()),INDEX(MO_Common_QEndDate,0,COLUMN())),"N/A")</f>
        <v>N/A</v>
      </c>
      <c r="BD803" s="284" t="str">
        <f ca="1">IFERROR(_xll.TR(MO.Ticker.Thomson,"Min(TR.PriceLow)","sdate:#1 edate:#2",,INDEX(MO_SNA_FPStartDate,0,COLUMN()),INDEX(MO_Common_QEndDate,0,COLUMN())),"N/A")</f>
        <v>N/A</v>
      </c>
      <c r="BE803" s="284" t="str">
        <f ca="1">IFERROR(_xll.TR(MO.Ticker.Thomson,"Min(TR.PriceLow)","sdate:#1 edate:#2",,INDEX(MO_SNA_FPStartDate,0,COLUMN()),INDEX(MO_Common_QEndDate,0,COLUMN())),"N/A")</f>
        <v>N/A</v>
      </c>
      <c r="BF803" s="284" t="str">
        <f ca="1">IFERROR(_xll.TR(MO.Ticker.Thomson,"Min(TR.PriceLow)","sdate:#1 edate:#2",,INDEX(MO_SNA_FPStartDate,0,COLUMN()),INDEX(MO_Common_QEndDate,0,COLUMN())),"N/A")</f>
        <v>N/A</v>
      </c>
      <c r="BG803" s="284" t="str">
        <f ca="1">IFERROR(_xll.TR(MO.Ticker.Thomson,"Min(TR.PriceLow)","sdate:#1 edate:#2",,INDEX(MO_SNA_FPStartDate,0,COLUMN()),INDEX(MO_Common_QEndDate,0,COLUMN())),"N/A")</f>
        <v>N/A</v>
      </c>
      <c r="BH803" s="561" t="str">
        <f ca="1">IFERROR(_xll.TR(MO.Ticker.Thomson,"Min(TR.PriceLow)","sdate:#1 edate:#2",,INDEX(MO_SNA_FPStartDate,0,COLUMN()),INDEX(MO_Common_QEndDate,0,COLUMN())),"N/A")</f>
        <v>N/A</v>
      </c>
      <c r="BI803" s="284" t="str">
        <f ca="1">IFERROR(_xll.TR(MO.Ticker.Thomson,"Min(TR.PriceLow)","sdate:#1 edate:#2",,INDEX(MO_SNA_FPStartDate,0,COLUMN()),INDEX(MO_Common_QEndDate,0,COLUMN())),"N/A")</f>
        <v>N/A</v>
      </c>
      <c r="BJ803" s="284" t="str">
        <f ca="1">IFERROR(_xll.TR(MO.Ticker.Thomson,"Min(TR.PriceLow)","sdate:#1 edate:#2",,INDEX(MO_SNA_FPStartDate,0,COLUMN()),INDEX(MO_Common_QEndDate,0,COLUMN())),"N/A")</f>
        <v>N/A</v>
      </c>
      <c r="BK803" s="284" t="str">
        <f ca="1">IFERROR(_xll.TR(MO.Ticker.Thomson,"Min(TR.PriceLow)","sdate:#1 edate:#2",,INDEX(MO_SNA_FPStartDate,0,COLUMN()),INDEX(MO_Common_QEndDate,0,COLUMN())),"N/A")</f>
        <v>N/A</v>
      </c>
      <c r="BL803" s="284" t="str">
        <f ca="1">IFERROR(_xll.TR(MO.Ticker.Thomson,"Min(TR.PriceLow)","sdate:#1 edate:#2",,INDEX(MO_SNA_FPStartDate,0,COLUMN()),INDEX(MO_Common_QEndDate,0,COLUMN())),"N/A")</f>
        <v>N/A</v>
      </c>
      <c r="BM803" s="284" t="str">
        <f ca="1">IFERROR(_xll.TR(MO.Ticker.Thomson,"Min(TR.PriceLow)","sdate:#1 edate:#2",,INDEX(MO_SNA_FPStartDate,0,COLUMN()),INDEX(MO_Common_QEndDate,0,COLUMN())),"N/A")</f>
        <v>N/A</v>
      </c>
      <c r="BN803" s="284" t="str">
        <f ca="1">IFERROR(_xll.TR(MO.Ticker.Thomson,"Min(TR.PriceLow)","sdate:#1 edate:#2",,INDEX(MO_SNA_FPStartDate,0,COLUMN()),INDEX(MO_Common_QEndDate,0,COLUMN())),"N/A")</f>
        <v>N/A</v>
      </c>
      <c r="BO803" s="284" t="str">
        <f ca="1">IFERROR(_xll.TR(MO.Ticker.Thomson,"Min(TR.PriceLow)","sdate:#1 edate:#2",,INDEX(MO_SNA_FPStartDate,0,COLUMN()),INDEX(MO_Common_QEndDate,0,COLUMN())),"N/A")</f>
        <v>N/A</v>
      </c>
      <c r="BP803" s="284" t="str">
        <f ca="1">IFERROR(_xll.TR(MO.Ticker.Thomson,"Min(TR.PriceLow)","sdate:#1 edate:#2",,INDEX(MO_SNA_FPStartDate,0,COLUMN()),INDEX(MO_Common_QEndDate,0,COLUMN())),"N/A")</f>
        <v>N/A</v>
      </c>
      <c r="BQ803" s="284" t="str">
        <f ca="1">IFERROR(_xll.TR(MO.Ticker.Thomson,"Min(TR.PriceLow)","sdate:#1 edate:#2",,INDEX(MO_SNA_FPStartDate,0,COLUMN()),INDEX(MO_Common_QEndDate,0,COLUMN())),"N/A")</f>
        <v>N/A</v>
      </c>
      <c r="BR803" s="286" t="str">
        <f ca="1">IFERROR(_xll.TR(MO.Ticker.Thomson,"Min(TR.PriceLow)","sdate:#1 edate:#2",,INDEX(MO_SNA_FPStartDate,0,COLUMN()),INDEX(MO_Common_QEndDate,0,COLUMN())),"N/A")</f>
        <v>N/A</v>
      </c>
      <c r="BS803" s="348"/>
    </row>
    <row r="804" spans="1:71" s="24" customFormat="1" ht="15" hidden="1" outlineLevel="1">
      <c r="A804" s="259"/>
      <c r="B804" s="828"/>
      <c r="C804" s="277"/>
      <c r="D804" s="277"/>
      <c r="E804" s="828"/>
      <c r="F804" s="828"/>
      <c r="G804" s="828"/>
      <c r="H804" s="828"/>
      <c r="I804" s="828"/>
      <c r="J804" s="828"/>
      <c r="K804" s="828"/>
      <c r="L804" s="828"/>
      <c r="M804" s="828"/>
      <c r="N804" s="828"/>
      <c r="O804" s="828"/>
      <c r="P804" s="828"/>
      <c r="Q804" s="828"/>
      <c r="R804" s="828"/>
      <c r="S804" s="828"/>
      <c r="T804" s="828"/>
      <c r="U804" s="828"/>
      <c r="V804" s="828"/>
      <c r="W804" s="828"/>
      <c r="X804" s="828"/>
      <c r="Y804" s="828"/>
      <c r="Z804" s="828"/>
      <c r="AA804" s="828"/>
      <c r="AB804" s="828"/>
      <c r="AC804" s="828"/>
      <c r="AD804" s="828"/>
      <c r="AE804" s="828"/>
      <c r="AF804" s="828"/>
      <c r="AG804" s="828"/>
      <c r="AH804" s="828"/>
      <c r="AI804" s="828"/>
      <c r="AJ804" s="828"/>
      <c r="AK804" s="828"/>
      <c r="AL804" s="828"/>
      <c r="AM804" s="828"/>
      <c r="AN804" s="828"/>
      <c r="AO804" s="828"/>
      <c r="AP804" s="828"/>
      <c r="AQ804" s="828"/>
      <c r="AR804" s="828"/>
      <c r="AS804" s="828"/>
      <c r="AT804" s="828"/>
      <c r="AU804" s="828"/>
      <c r="AV804" s="828"/>
      <c r="AW804" s="828"/>
      <c r="AX804" s="828"/>
      <c r="AY804" s="828"/>
      <c r="AZ804" s="828"/>
      <c r="BA804" s="828"/>
      <c r="BB804" s="828"/>
      <c r="BC804" s="828"/>
      <c r="BD804" s="828"/>
      <c r="BE804" s="828"/>
      <c r="BF804" s="828"/>
      <c r="BG804" s="828"/>
      <c r="BH804" s="829"/>
      <c r="BI804" s="828"/>
      <c r="BJ804" s="828"/>
      <c r="BK804" s="828"/>
      <c r="BL804" s="828"/>
      <c r="BM804" s="828"/>
      <c r="BN804" s="828"/>
      <c r="BO804" s="828"/>
      <c r="BP804" s="828"/>
      <c r="BQ804" s="828"/>
      <c r="BR804" s="258"/>
      <c r="BS804" s="345"/>
    </row>
    <row r="805" spans="1:71" s="288" customFormat="1" ht="15" collapsed="1">
      <c r="A805" s="283" t="str">
        <f ca="1">"Stock Average: "&amp;IF(OR(MO.RealTimeStockPriceToggle=FALSE,VLOOKUP(MO.DataSourceName,MO_SPT_StockAverage_Sources,COLUMN()+2,FALSE)="N/A"),"Real-Time Off Source",MO.DataSourceName)</f>
        <v>Stock Average: Real-Time Off Source</v>
      </c>
      <c r="B805" s="284"/>
      <c r="C805" s="285">
        <f ca="1" t="shared" si="1485" ref="C805:AQ805">IF(OR(MO.RealTimeStockPriceToggle=FALSE,VLOOKUP(MO.DataSourceName,MO_SPT_StockAverage_Sources,COLUMN(),FALSE)="N/A"),VLOOKUP("Real-Time Off Source",MO_SPT_StockAverage_Sources,COLUMN(),FALSE),VLOOKUP(MO.DataSourceName,MO_SPT_StockAverage_Sources,COLUMN(),FALSE))</f>
        <v>43.915</v>
      </c>
      <c r="D805" s="285">
        <f t="shared" ca="1" si="1485"/>
        <v>52.69</v>
      </c>
      <c r="E805" s="284">
        <f t="shared" ca="1" si="1485"/>
        <v>55.425</v>
      </c>
      <c r="F805" s="284">
        <f t="shared" ca="1" si="1485"/>
        <v>65.599999999999994</v>
      </c>
      <c r="G805" s="284">
        <f t="shared" ca="1" si="1485"/>
        <v>81.925</v>
      </c>
      <c r="H805" s="284">
        <f t="shared" ca="1" si="1485"/>
        <v>84.795</v>
      </c>
      <c r="I805" s="284">
        <f t="shared" ca="1" si="1485"/>
        <v>89.995</v>
      </c>
      <c r="J805" s="284">
        <f t="shared" ca="1" si="1485"/>
        <v>92.535</v>
      </c>
      <c r="K805" s="284">
        <f t="shared" ca="1" si="1485"/>
        <v>99.38</v>
      </c>
      <c r="L805" s="284">
        <f t="shared" ca="1" si="1485"/>
        <v>91.67625</v>
      </c>
      <c r="M805" s="284">
        <f t="shared" ca="1" si="1485"/>
        <v>106.27500000000001</v>
      </c>
      <c r="N805" s="284">
        <f t="shared" ca="1" si="1485"/>
        <v>102.405</v>
      </c>
      <c r="O805" s="284">
        <f t="shared" ca="1" si="1485"/>
        <v>102.655</v>
      </c>
      <c r="P805" s="284">
        <f t="shared" ca="1" si="1485"/>
        <v>107.08499999999999</v>
      </c>
      <c r="Q805" s="284">
        <f t="shared" ca="1" si="1485"/>
        <v>104.605</v>
      </c>
      <c r="R805" s="284">
        <f t="shared" ca="1" si="1485"/>
        <v>109.755</v>
      </c>
      <c r="S805" s="284">
        <f t="shared" ca="1" si="1485"/>
        <v>113.91500000000001</v>
      </c>
      <c r="T805" s="284">
        <f t="shared" ca="1" si="1485"/>
        <v>116.50</v>
      </c>
      <c r="U805" s="284">
        <f t="shared" ca="1" si="1485"/>
        <v>113.62</v>
      </c>
      <c r="V805" s="284">
        <f t="shared" ca="1" si="1485"/>
        <v>113.44750000000001</v>
      </c>
      <c r="W805" s="284">
        <f t="shared" ca="1" si="1485"/>
        <v>120.765</v>
      </c>
      <c r="X805" s="284">
        <f t="shared" ca="1" si="1485"/>
        <v>124.16</v>
      </c>
      <c r="Y805" s="284">
        <f t="shared" ca="1" si="1485"/>
        <v>122.66500000000001</v>
      </c>
      <c r="Z805" s="284">
        <f t="shared" ca="1" si="1485"/>
        <v>129.84</v>
      </c>
      <c r="AA805" s="284">
        <f t="shared" ca="1" si="1485"/>
        <v>124.3575</v>
      </c>
      <c r="AB805" s="284">
        <f t="shared" ca="1" si="1485"/>
        <v>136.670808196721</v>
      </c>
      <c r="AC805" s="284">
        <f t="shared" ca="1" si="1485"/>
        <v>128.8461453125</v>
      </c>
      <c r="AD805" s="284">
        <f t="shared" ca="1" si="1485"/>
        <v>127.696782539682</v>
      </c>
      <c r="AE805" s="284">
        <f t="shared" ca="1" si="1485"/>
        <v>124.577963492064</v>
      </c>
      <c r="AF805" s="284">
        <f t="shared" ca="1" si="1485"/>
        <v>129.38797450199201</v>
      </c>
      <c r="AG805" s="284">
        <f t="shared" ca="1" si="1485"/>
        <v>127.84119672131099</v>
      </c>
      <c r="AH805" s="284">
        <f t="shared" ca="1" si="1485"/>
        <v>144.207619047619</v>
      </c>
      <c r="AI805" s="284">
        <f t="shared" ca="1" si="1485"/>
        <v>148.66515625</v>
      </c>
      <c r="AJ805" s="284">
        <f t="shared" ca="1" si="1485"/>
        <v>136.12187499999999</v>
      </c>
      <c r="AK805" s="284">
        <f t="shared" ca="1" si="1485"/>
        <v>139.34908730158699</v>
      </c>
      <c r="AL805" s="284">
        <f t="shared" ca="1" si="1485"/>
        <v>124.361451612903</v>
      </c>
      <c r="AM805" s="284">
        <f t="shared" ca="1" si="1485"/>
        <v>105.380793650794</v>
      </c>
      <c r="AN805" s="284">
        <f ca="1">IF(OR(MO.RealTimeStockPriceToggle=FALSE,VLOOKUP(MO.DataSourceName,MO_SPT_StockAverage_Sources,COLUMN(),FALSE)="N/A"),VLOOKUP("Real-Time Off Source",MO_SPT_StockAverage_Sources,COLUMN(),FALSE),VLOOKUP(MO.DataSourceName,MO_SPT_StockAverage_Sources,COLUMN(),FALSE))</f>
        <v>114.64812499999999</v>
      </c>
      <c r="AO805" s="284">
        <f t="shared" ca="1" si="1485"/>
        <v>128.42156249999999</v>
      </c>
      <c r="AP805" s="284">
        <f t="shared" ca="1" si="1485"/>
        <v>118.204980237154</v>
      </c>
      <c r="AQ805" s="284">
        <f t="shared" ca="1" si="1485"/>
        <v>146.98606557376999</v>
      </c>
      <c r="AR805" s="284">
        <f ca="1" t="shared" si="1486" ref="AR805:AW805">IF(OR(MO.RealTimeStockPriceToggle=FALSE,VLOOKUP(MO.DataSourceName,MO_SPT_StockAverage_Sources,COLUMN(),FALSE)="N/A"),VLOOKUP("Real-Time Off Source",MO_SPT_StockAverage_Sources,COLUMN(),FALSE),VLOOKUP(MO.DataSourceName,MO_SPT_StockAverage_Sources,COLUMN(),FALSE))</f>
        <v>155.15730158730199</v>
      </c>
      <c r="AS805" s="284">
        <f t="shared" ca="1" si="1486"/>
        <v>154.8009375</v>
      </c>
      <c r="AT805" s="284">
        <f t="shared" ca="1" si="1486"/>
        <v>156.25234374999999</v>
      </c>
      <c r="AU805" s="284">
        <f t="shared" ca="1" si="1486"/>
        <v>153.36694444444399</v>
      </c>
      <c r="AV805" s="284">
        <f t="shared" ca="1" si="1486"/>
        <v>171.42919354838699</v>
      </c>
      <c r="AW805" s="284">
        <f t="shared" ca="1" si="1486"/>
        <v>173.81629032258101</v>
      </c>
      <c r="AX805" s="284">
        <f ca="1" t="shared" si="1487" ref="AX805:BJ805">IF(OR(MO.RealTimeStockPriceToggle=FALSE,VLOOKUP(MO.DataSourceName,MO_SPT_StockAverage_Sources,COLUMN(),FALSE)="N/A"),VLOOKUP("Real-Time Off Source",MO_SPT_StockAverage_Sources,COLUMN(),FALSE),VLOOKUP(MO.DataSourceName,MO_SPT_StockAverage_Sources,COLUMN(),FALSE))</f>
        <v>162.57515624999999</v>
      </c>
      <c r="AY805" s="284">
        <f t="shared" ca="1" si="1487"/>
        <v>179.89</v>
      </c>
      <c r="AZ805" s="284">
        <f t="shared" ca="1" si="1487"/>
        <v>171.884860557769</v>
      </c>
      <c r="BA805" s="284">
        <f ca="1" t="shared" si="1488" ref="BA805:BI805">IF(OR(MO.RealTimeStockPriceToggle=FALSE,VLOOKUP(MO.DataSourceName,MO_SPT_StockAverage_Sources,COLUMN(),FALSE)="N/A"),VLOOKUP("Real-Time Off Source",MO_SPT_StockAverage_Sources,COLUMN(),FALSE),VLOOKUP(MO.DataSourceName,MO_SPT_StockAverage_Sources,COLUMN(),FALSE))</f>
        <v>181.844032258065</v>
      </c>
      <c r="BB805" s="284">
        <f t="shared" ca="1" si="1488"/>
        <v>176.373548387097</v>
      </c>
      <c r="BC805" s="284">
        <f t="shared" ca="1" si="1488"/>
        <v>167.00523809523801</v>
      </c>
      <c r="BD805" s="284">
        <f t="shared" ca="1" si="1488"/>
        <v>173.15142857142899</v>
      </c>
      <c r="BE805" s="284">
        <f t="shared" ca="1" si="1488"/>
        <v>174.55744000000001</v>
      </c>
      <c r="BF805" s="284">
        <f ca="1">IF(OR(MO.RealTimeStockPriceToggle=FALSE,VLOOKUP(MO.DataSourceName,MO_SPT_StockAverage_Sources,COLUMN(),FALSE)="N/A"),VLOOKUP("Real-Time Off Source",MO_SPT_StockAverage_Sources,COLUMN(),FALSE),VLOOKUP(MO.DataSourceName,MO_SPT_StockAverage_Sources,COLUMN(),FALSE))</f>
        <v>213.64901639344299</v>
      </c>
      <c r="BG805" s="284">
        <f ca="1">IF(OR(MO.RealTimeStockPriceToggle=FALSE,VLOOKUP(MO.DataSourceName,MO_SPT_StockAverage_Sources,COLUMN(),FALSE)="N/A"),VLOOKUP("Real-Time Off Source",MO_SPT_StockAverage_Sources,COLUMN(),FALSE),VLOOKUP(MO.DataSourceName,MO_SPT_StockAverage_Sources,COLUMN(),FALSE))</f>
        <v>214.95206349206299</v>
      </c>
      <c r="BH805" s="561">
        <f ca="1">IF(OR(MO.RealTimeStockPriceToggle=FALSE,VLOOKUP(MO.DataSourceName,MO_SPT_StockAverage_Sources,COLUMN(),FALSE)="N/A"),VLOOKUP("Real-Time Off Source",MO_SPT_StockAverage_Sources,COLUMN(),FALSE),VLOOKUP(MO.DataSourceName,MO_SPT_StockAverage_Sources,COLUMN(),FALSE))</f>
        <v>220.46546875000001</v>
      </c>
      <c r="BI805" s="284">
        <f t="shared" ca="1" si="1488"/>
        <v>0</v>
      </c>
      <c r="BJ805" s="284">
        <f t="shared" ca="1" si="1487"/>
        <v>0</v>
      </c>
      <c r="BK805" s="284">
        <f ca="1" t="shared" si="1489" ref="BK805:BR805">IF(OR(MO.RealTimeStockPriceToggle=FALSE,VLOOKUP(MO.DataSourceName,MO_SPT_StockAverage_Sources,COLUMN(),FALSE)="N/A"),VLOOKUP("Real-Time Off Source",MO_SPT_StockAverage_Sources,COLUMN(),FALSE),VLOOKUP(MO.DataSourceName,MO_SPT_StockAverage_Sources,COLUMN(),FALSE))</f>
        <v>0</v>
      </c>
      <c r="BL805" s="284">
        <f t="shared" ca="1" si="1489"/>
        <v>0</v>
      </c>
      <c r="BM805" s="284">
        <f t="shared" ca="1" si="1489"/>
        <v>0</v>
      </c>
      <c r="BN805" s="284">
        <f t="shared" ca="1" si="1489"/>
        <v>0</v>
      </c>
      <c r="BO805" s="284">
        <f t="shared" ca="1" si="1489"/>
        <v>0</v>
      </c>
      <c r="BP805" s="284">
        <f t="shared" ca="1" si="1489"/>
        <v>0</v>
      </c>
      <c r="BQ805" s="284">
        <f t="shared" ca="1" si="1489"/>
        <v>0</v>
      </c>
      <c r="BR805" s="286">
        <f t="shared" ca="1" si="1489"/>
        <v>0</v>
      </c>
      <c r="BS805" s="348"/>
    </row>
    <row r="806" spans="1:71" s="288" customFormat="1" ht="15" hidden="1" outlineLevel="1">
      <c r="A806" s="289" t="s">
        <v>304</v>
      </c>
      <c r="B806" s="284"/>
      <c r="C806" s="965">
        <v>43.915</v>
      </c>
      <c r="D806" s="965">
        <v>52.69</v>
      </c>
      <c r="E806" s="966">
        <v>55.425</v>
      </c>
      <c r="F806" s="966">
        <v>65.599999999999994</v>
      </c>
      <c r="G806" s="966">
        <v>81.925</v>
      </c>
      <c r="H806" s="966">
        <v>84.795</v>
      </c>
      <c r="I806" s="966">
        <v>89.995</v>
      </c>
      <c r="J806" s="966">
        <v>92.535</v>
      </c>
      <c r="K806" s="966">
        <v>99.38</v>
      </c>
      <c r="L806" s="966">
        <v>91.67625</v>
      </c>
      <c r="M806" s="966">
        <v>106.27500000000001</v>
      </c>
      <c r="N806" s="966">
        <v>102.405</v>
      </c>
      <c r="O806" s="966">
        <v>102.655</v>
      </c>
      <c r="P806" s="966">
        <v>107.08499999999999</v>
      </c>
      <c r="Q806" s="966">
        <v>104.605</v>
      </c>
      <c r="R806" s="966">
        <v>109.755</v>
      </c>
      <c r="S806" s="966">
        <v>113.91500000000001</v>
      </c>
      <c r="T806" s="966">
        <v>116.50</v>
      </c>
      <c r="U806" s="966">
        <v>113.62</v>
      </c>
      <c r="V806" s="966">
        <v>113.44750000000001</v>
      </c>
      <c r="W806" s="966">
        <v>120.765</v>
      </c>
      <c r="X806" s="966">
        <v>124.16</v>
      </c>
      <c r="Y806" s="966">
        <v>122.66500000000001</v>
      </c>
      <c r="Z806" s="966">
        <v>129.84</v>
      </c>
      <c r="AA806" s="966">
        <v>124.3575</v>
      </c>
      <c r="AB806" s="966">
        <v>136.670808196721</v>
      </c>
      <c r="AC806" s="966">
        <v>128.8461453125</v>
      </c>
      <c r="AD806" s="966">
        <v>127.696782539682</v>
      </c>
      <c r="AE806" s="966">
        <v>124.577963492064</v>
      </c>
      <c r="AF806" s="966">
        <v>129.38797450199201</v>
      </c>
      <c r="AG806" s="966">
        <v>127.84119672131099</v>
      </c>
      <c r="AH806" s="966">
        <v>144.207619047619</v>
      </c>
      <c r="AI806" s="966">
        <v>148.66515625</v>
      </c>
      <c r="AJ806" s="966">
        <v>136.12187499999999</v>
      </c>
      <c r="AK806" s="966">
        <v>139.34908730158699</v>
      </c>
      <c r="AL806" s="966">
        <v>124.361451612903</v>
      </c>
      <c r="AM806" s="966">
        <v>105.380793650794</v>
      </c>
      <c r="AN806" s="966">
        <v>114.64812499999999</v>
      </c>
      <c r="AO806" s="966">
        <v>128.42156249999999</v>
      </c>
      <c r="AP806" s="966">
        <v>118.204980237154</v>
      </c>
      <c r="AQ806" s="966">
        <v>146.98606557376999</v>
      </c>
      <c r="AR806" s="966">
        <v>155.15730158730199</v>
      </c>
      <c r="AS806" s="966">
        <v>154.8009375</v>
      </c>
      <c r="AT806" s="966">
        <v>156.25234374999999</v>
      </c>
      <c r="AU806" s="966">
        <v>153.36694444444399</v>
      </c>
      <c r="AV806" s="966">
        <v>171.42919354838699</v>
      </c>
      <c r="AW806" s="966">
        <v>173.81629032258101</v>
      </c>
      <c r="AX806" s="966">
        <v>162.57515624999999</v>
      </c>
      <c r="AY806" s="966">
        <v>179.89</v>
      </c>
      <c r="AZ806" s="966">
        <v>171.884860557769</v>
      </c>
      <c r="BA806" s="966">
        <v>181.844032258065</v>
      </c>
      <c r="BB806" s="966">
        <v>176.373548387097</v>
      </c>
      <c r="BC806" s="966">
        <v>167.00523809523801</v>
      </c>
      <c r="BD806" s="966">
        <v>173.15142857142899</v>
      </c>
      <c r="BE806" s="966">
        <v>174.55744000000001</v>
      </c>
      <c r="BF806" s="966">
        <v>213.64901639344299</v>
      </c>
      <c r="BG806" s="966">
        <v>214.95206349206299</v>
      </c>
      <c r="BH806" s="967">
        <v>220.46546875000001</v>
      </c>
      <c r="BI806" s="284"/>
      <c r="BJ806" s="284"/>
      <c r="BK806" s="284"/>
      <c r="BL806" s="284"/>
      <c r="BM806" s="284"/>
      <c r="BN806" s="284"/>
      <c r="BO806" s="284"/>
      <c r="BP806" s="284"/>
      <c r="BQ806" s="284"/>
      <c r="BR806" s="286"/>
      <c r="BS806" s="348"/>
    </row>
    <row r="807" spans="1:71" s="288" customFormat="1" ht="15" hidden="1" outlineLevel="1">
      <c r="A807" s="289" t="s">
        <v>7</v>
      </c>
      <c r="B807" s="284"/>
      <c r="C807" s="285" t="str">
        <f ca="1">IFERROR(BDP(MO.Ticker.Bloomberg&amp;" Equity","INTERVAL_AVG","MARKET_DATA_OVERRIDE=PX_LAST","START_DATE_OVERRIDE",TEXT(INDEX(MO_SNA_FPStartDate,0,COLUMN()),"YYYYMMDD"),"END_DATE_OVERRIDE",TEXT(INDEX(MO_Common_QEndDate,0,COLUMN()),"YYYYMMDD")),"N/A")</f>
        <v>N/A</v>
      </c>
      <c r="D807" s="285" t="str">
        <f ca="1">IFERROR(BDP(MO.Ticker.Bloomberg&amp;" Equity","INTERVAL_AVG","MARKET_DATA_OVERRIDE=PX_LAST","START_DATE_OVERRIDE",TEXT(INDEX(MO_SNA_FPStartDate,0,COLUMN()),"YYYYMMDD"),"END_DATE_OVERRIDE",TEXT(INDEX(MO_Common_QEndDate,0,COLUMN()),"YYYYMMDD")),"N/A")</f>
        <v>N/A</v>
      </c>
      <c r="E807" s="284" t="str">
        <f ca="1">IFERROR(BDP(MO.Ticker.Bloomberg&amp;" Equity","INTERVAL_AVG","MARKET_DATA_OVERRIDE=PX_LAST","START_DATE_OVERRIDE",TEXT(INDEX(MO_SNA_FPStartDate,0,COLUMN()),"YYYYMMDD"),"END_DATE_OVERRIDE",TEXT(INDEX(MO_Common_QEndDate,0,COLUMN()),"YYYYMMDD")),"N/A")</f>
        <v>N/A</v>
      </c>
      <c r="F807" s="284" t="str">
        <f ca="1">IFERROR(BDP(MO.Ticker.Bloomberg&amp;" Equity","INTERVAL_AVG","MARKET_DATA_OVERRIDE=PX_LAST","START_DATE_OVERRIDE",TEXT(INDEX(MO_SNA_FPStartDate,0,COLUMN()),"YYYYMMDD"),"END_DATE_OVERRIDE",TEXT(INDEX(MO_Common_QEndDate,0,COLUMN()),"YYYYMMDD")),"N/A")</f>
        <v>N/A</v>
      </c>
      <c r="G807" s="284" t="str">
        <f ca="1">IFERROR(BDP(MO.Ticker.Bloomberg&amp;" Equity","INTERVAL_AVG","MARKET_DATA_OVERRIDE=PX_LAST","START_DATE_OVERRIDE",TEXT(INDEX(MO_SNA_FPStartDate,0,COLUMN()),"YYYYMMDD"),"END_DATE_OVERRIDE",TEXT(INDEX(MO_Common_QEndDate,0,COLUMN()),"YYYYMMDD")),"N/A")</f>
        <v>N/A</v>
      </c>
      <c r="H807" s="284" t="str">
        <f ca="1">IFERROR(BDP(MO.Ticker.Bloomberg&amp;" Equity","INTERVAL_AVG","MARKET_DATA_OVERRIDE=PX_LAST","START_DATE_OVERRIDE",TEXT(INDEX(MO_SNA_FPStartDate,0,COLUMN()),"YYYYMMDD"),"END_DATE_OVERRIDE",TEXT(INDEX(MO_Common_QEndDate,0,COLUMN()),"YYYYMMDD")),"N/A")</f>
        <v>N/A</v>
      </c>
      <c r="I807" s="284" t="str">
        <f ca="1">IFERROR(BDP(MO.Ticker.Bloomberg&amp;" Equity","INTERVAL_AVG","MARKET_DATA_OVERRIDE=PX_LAST","START_DATE_OVERRIDE",TEXT(INDEX(MO_SNA_FPStartDate,0,COLUMN()),"YYYYMMDD"),"END_DATE_OVERRIDE",TEXT(INDEX(MO_Common_QEndDate,0,COLUMN()),"YYYYMMDD")),"N/A")</f>
        <v>N/A</v>
      </c>
      <c r="J807" s="284" t="str">
        <f ca="1">IFERROR(BDP(MO.Ticker.Bloomberg&amp;" Equity","INTERVAL_AVG","MARKET_DATA_OVERRIDE=PX_LAST","START_DATE_OVERRIDE",TEXT(INDEX(MO_SNA_FPStartDate,0,COLUMN()),"YYYYMMDD"),"END_DATE_OVERRIDE",TEXT(INDEX(MO_Common_QEndDate,0,COLUMN()),"YYYYMMDD")),"N/A")</f>
        <v>N/A</v>
      </c>
      <c r="K807" s="284" t="str">
        <f ca="1">IFERROR(BDP(MO.Ticker.Bloomberg&amp;" Equity","INTERVAL_AVG","MARKET_DATA_OVERRIDE=PX_LAST","START_DATE_OVERRIDE",TEXT(INDEX(MO_SNA_FPStartDate,0,COLUMN()),"YYYYMMDD"),"END_DATE_OVERRIDE",TEXT(INDEX(MO_Common_QEndDate,0,COLUMN()),"YYYYMMDD")),"N/A")</f>
        <v>N/A</v>
      </c>
      <c r="L807" s="284" t="str">
        <f ca="1">IFERROR(BDP(MO.Ticker.Bloomberg&amp;" Equity","INTERVAL_AVG","MARKET_DATA_OVERRIDE=PX_LAST","START_DATE_OVERRIDE",TEXT(INDEX(MO_SNA_FPStartDate,0,COLUMN()),"YYYYMMDD"),"END_DATE_OVERRIDE",TEXT(INDEX(MO_Common_QEndDate,0,COLUMN()),"YYYYMMDD")),"N/A")</f>
        <v>N/A</v>
      </c>
      <c r="M807" s="284" t="str">
        <f ca="1">IFERROR(BDP(MO.Ticker.Bloomberg&amp;" Equity","INTERVAL_AVG","MARKET_DATA_OVERRIDE=PX_LAST","START_DATE_OVERRIDE",TEXT(INDEX(MO_SNA_FPStartDate,0,COLUMN()),"YYYYMMDD"),"END_DATE_OVERRIDE",TEXT(INDEX(MO_Common_QEndDate,0,COLUMN()),"YYYYMMDD")),"N/A")</f>
        <v>N/A</v>
      </c>
      <c r="N807" s="284" t="str">
        <f ca="1">IFERROR(BDP(MO.Ticker.Bloomberg&amp;" Equity","INTERVAL_AVG","MARKET_DATA_OVERRIDE=PX_LAST","START_DATE_OVERRIDE",TEXT(INDEX(MO_SNA_FPStartDate,0,COLUMN()),"YYYYMMDD"),"END_DATE_OVERRIDE",TEXT(INDEX(MO_Common_QEndDate,0,COLUMN()),"YYYYMMDD")),"N/A")</f>
        <v>N/A</v>
      </c>
      <c r="O807" s="284" t="str">
        <f ca="1">IFERROR(BDP(MO.Ticker.Bloomberg&amp;" Equity","INTERVAL_AVG","MARKET_DATA_OVERRIDE=PX_LAST","START_DATE_OVERRIDE",TEXT(INDEX(MO_SNA_FPStartDate,0,COLUMN()),"YYYYMMDD"),"END_DATE_OVERRIDE",TEXT(INDEX(MO_Common_QEndDate,0,COLUMN()),"YYYYMMDD")),"N/A")</f>
        <v>N/A</v>
      </c>
      <c r="P807" s="284" t="str">
        <f ca="1">IFERROR(BDP(MO.Ticker.Bloomberg&amp;" Equity","INTERVAL_AVG","MARKET_DATA_OVERRIDE=PX_LAST","START_DATE_OVERRIDE",TEXT(INDEX(MO_SNA_FPStartDate,0,COLUMN()),"YYYYMMDD"),"END_DATE_OVERRIDE",TEXT(INDEX(MO_Common_QEndDate,0,COLUMN()),"YYYYMMDD")),"N/A")</f>
        <v>N/A</v>
      </c>
      <c r="Q807" s="284" t="str">
        <f ca="1">IFERROR(BDP(MO.Ticker.Bloomberg&amp;" Equity","INTERVAL_AVG","MARKET_DATA_OVERRIDE=PX_LAST","START_DATE_OVERRIDE",TEXT(INDEX(MO_SNA_FPStartDate,0,COLUMN()),"YYYYMMDD"),"END_DATE_OVERRIDE",TEXT(INDEX(MO_Common_QEndDate,0,COLUMN()),"YYYYMMDD")),"N/A")</f>
        <v>N/A</v>
      </c>
      <c r="R807" s="284" t="str">
        <f ca="1">IFERROR(BDP(MO.Ticker.Bloomberg&amp;" Equity","INTERVAL_AVG","MARKET_DATA_OVERRIDE=PX_LAST","START_DATE_OVERRIDE",TEXT(INDEX(MO_SNA_FPStartDate,0,COLUMN()),"YYYYMMDD"),"END_DATE_OVERRIDE",TEXT(INDEX(MO_Common_QEndDate,0,COLUMN()),"YYYYMMDD")),"N/A")</f>
        <v>N/A</v>
      </c>
      <c r="S807" s="284" t="str">
        <f ca="1">IFERROR(BDP(MO.Ticker.Bloomberg&amp;" Equity","INTERVAL_AVG","MARKET_DATA_OVERRIDE=PX_LAST","START_DATE_OVERRIDE",TEXT(INDEX(MO_SNA_FPStartDate,0,COLUMN()),"YYYYMMDD"),"END_DATE_OVERRIDE",TEXT(INDEX(MO_Common_QEndDate,0,COLUMN()),"YYYYMMDD")),"N/A")</f>
        <v>N/A</v>
      </c>
      <c r="T807" s="284" t="str">
        <f ca="1">IFERROR(BDP(MO.Ticker.Bloomberg&amp;" Equity","INTERVAL_AVG","MARKET_DATA_OVERRIDE=PX_LAST","START_DATE_OVERRIDE",TEXT(INDEX(MO_SNA_FPStartDate,0,COLUMN()),"YYYYMMDD"),"END_DATE_OVERRIDE",TEXT(INDEX(MO_Common_QEndDate,0,COLUMN()),"YYYYMMDD")),"N/A")</f>
        <v>N/A</v>
      </c>
      <c r="U807" s="284" t="str">
        <f ca="1">IFERROR(BDP(MO.Ticker.Bloomberg&amp;" Equity","INTERVAL_AVG","MARKET_DATA_OVERRIDE=PX_LAST","START_DATE_OVERRIDE",TEXT(INDEX(MO_SNA_FPStartDate,0,COLUMN()),"YYYYMMDD"),"END_DATE_OVERRIDE",TEXT(INDEX(MO_Common_QEndDate,0,COLUMN()),"YYYYMMDD")),"N/A")</f>
        <v>N/A</v>
      </c>
      <c r="V807" s="284" t="str">
        <f ca="1">IFERROR(BDP(MO.Ticker.Bloomberg&amp;" Equity","INTERVAL_AVG","MARKET_DATA_OVERRIDE=PX_LAST","START_DATE_OVERRIDE",TEXT(INDEX(MO_SNA_FPStartDate,0,COLUMN()),"YYYYMMDD"),"END_DATE_OVERRIDE",TEXT(INDEX(MO_Common_QEndDate,0,COLUMN()),"YYYYMMDD")),"N/A")</f>
        <v>N/A</v>
      </c>
      <c r="W807" s="284" t="str">
        <f ca="1">IFERROR(BDP(MO.Ticker.Bloomberg&amp;" Equity","INTERVAL_AVG","MARKET_DATA_OVERRIDE=PX_LAST","START_DATE_OVERRIDE",TEXT(INDEX(MO_SNA_FPStartDate,0,COLUMN()),"YYYYMMDD"),"END_DATE_OVERRIDE",TEXT(INDEX(MO_Common_QEndDate,0,COLUMN()),"YYYYMMDD")),"N/A")</f>
        <v>N/A</v>
      </c>
      <c r="X807" s="284" t="str">
        <f ca="1">IFERROR(BDP(MO.Ticker.Bloomberg&amp;" Equity","INTERVAL_AVG","MARKET_DATA_OVERRIDE=PX_LAST","START_DATE_OVERRIDE",TEXT(INDEX(MO_SNA_FPStartDate,0,COLUMN()),"YYYYMMDD"),"END_DATE_OVERRIDE",TEXT(INDEX(MO_Common_QEndDate,0,COLUMN()),"YYYYMMDD")),"N/A")</f>
        <v>N/A</v>
      </c>
      <c r="Y807" s="284" t="str">
        <f ca="1">IFERROR(BDP(MO.Ticker.Bloomberg&amp;" Equity","INTERVAL_AVG","MARKET_DATA_OVERRIDE=PX_LAST","START_DATE_OVERRIDE",TEXT(INDEX(MO_SNA_FPStartDate,0,COLUMN()),"YYYYMMDD"),"END_DATE_OVERRIDE",TEXT(INDEX(MO_Common_QEndDate,0,COLUMN()),"YYYYMMDD")),"N/A")</f>
        <v>N/A</v>
      </c>
      <c r="Z807" s="284" t="str">
        <f ca="1">IFERROR(BDP(MO.Ticker.Bloomberg&amp;" Equity","INTERVAL_AVG","MARKET_DATA_OVERRIDE=PX_LAST","START_DATE_OVERRIDE",TEXT(INDEX(MO_SNA_FPStartDate,0,COLUMN()),"YYYYMMDD"),"END_DATE_OVERRIDE",TEXT(INDEX(MO_Common_QEndDate,0,COLUMN()),"YYYYMMDD")),"N/A")</f>
        <v>N/A</v>
      </c>
      <c r="AA807" s="284" t="str">
        <f ca="1">IFERROR(BDP(MO.Ticker.Bloomberg&amp;" Equity","INTERVAL_AVG","MARKET_DATA_OVERRIDE=PX_LAST","START_DATE_OVERRIDE",TEXT(INDEX(MO_SNA_FPStartDate,0,COLUMN()),"YYYYMMDD"),"END_DATE_OVERRIDE",TEXT(INDEX(MO_Common_QEndDate,0,COLUMN()),"YYYYMMDD")),"N/A")</f>
        <v>N/A</v>
      </c>
      <c r="AB807" s="284" t="str">
        <f ca="1">IFERROR(BDP(MO.Ticker.Bloomberg&amp;" Equity","INTERVAL_AVG","MARKET_DATA_OVERRIDE=PX_LAST","START_DATE_OVERRIDE",TEXT(INDEX(MO_SNA_FPStartDate,0,COLUMN()),"YYYYMMDD"),"END_DATE_OVERRIDE",TEXT(INDEX(MO_Common_QEndDate,0,COLUMN()),"YYYYMMDD")),"N/A")</f>
        <v>N/A</v>
      </c>
      <c r="AC807" s="284" t="str">
        <f ca="1">IFERROR(BDP(MO.Ticker.Bloomberg&amp;" Equity","INTERVAL_AVG","MARKET_DATA_OVERRIDE=PX_LAST","START_DATE_OVERRIDE",TEXT(INDEX(MO_SNA_FPStartDate,0,COLUMN()),"YYYYMMDD"),"END_DATE_OVERRIDE",TEXT(INDEX(MO_Common_QEndDate,0,COLUMN()),"YYYYMMDD")),"N/A")</f>
        <v>N/A</v>
      </c>
      <c r="AD807" s="284" t="str">
        <f ca="1">IFERROR(BDP(MO.Ticker.Bloomberg&amp;" Equity","INTERVAL_AVG","MARKET_DATA_OVERRIDE=PX_LAST","START_DATE_OVERRIDE",TEXT(INDEX(MO_SNA_FPStartDate,0,COLUMN()),"YYYYMMDD"),"END_DATE_OVERRIDE",TEXT(INDEX(MO_Common_QEndDate,0,COLUMN()),"YYYYMMDD")),"N/A")</f>
        <v>N/A</v>
      </c>
      <c r="AE807" s="284" t="str">
        <f ca="1">IFERROR(BDP(MO.Ticker.Bloomberg&amp;" Equity","INTERVAL_AVG","MARKET_DATA_OVERRIDE=PX_LAST","START_DATE_OVERRIDE",TEXT(INDEX(MO_SNA_FPStartDate,0,COLUMN()),"YYYYMMDD"),"END_DATE_OVERRIDE",TEXT(INDEX(MO_Common_QEndDate,0,COLUMN()),"YYYYMMDD")),"N/A")</f>
        <v>N/A</v>
      </c>
      <c r="AF807" s="284" t="str">
        <f ca="1">IFERROR(BDP(MO.Ticker.Bloomberg&amp;" Equity","INTERVAL_AVG","MARKET_DATA_OVERRIDE=PX_LAST","START_DATE_OVERRIDE",TEXT(INDEX(MO_SNA_FPStartDate,0,COLUMN()),"YYYYMMDD"),"END_DATE_OVERRIDE",TEXT(INDEX(MO_Common_QEndDate,0,COLUMN()),"YYYYMMDD")),"N/A")</f>
        <v>N/A</v>
      </c>
      <c r="AG807" s="284" t="str">
        <f ca="1">IFERROR(BDP(MO.Ticker.Bloomberg&amp;" Equity","INTERVAL_AVG","MARKET_DATA_OVERRIDE=PX_LAST","START_DATE_OVERRIDE",TEXT(INDEX(MO_SNA_FPStartDate,0,COLUMN()),"YYYYMMDD"),"END_DATE_OVERRIDE",TEXT(INDEX(MO_Common_QEndDate,0,COLUMN()),"YYYYMMDD")),"N/A")</f>
        <v>N/A</v>
      </c>
      <c r="AH807" s="284" t="str">
        <f ca="1">IFERROR(BDP(MO.Ticker.Bloomberg&amp;" Equity","INTERVAL_AVG","MARKET_DATA_OVERRIDE=PX_LAST","START_DATE_OVERRIDE",TEXT(INDEX(MO_SNA_FPStartDate,0,COLUMN()),"YYYYMMDD"),"END_DATE_OVERRIDE",TEXT(INDEX(MO_Common_QEndDate,0,COLUMN()),"YYYYMMDD")),"N/A")</f>
        <v>N/A</v>
      </c>
      <c r="AI807" s="284" t="str">
        <f ca="1">IFERROR(BDP(MO.Ticker.Bloomberg&amp;" Equity","INTERVAL_AVG","MARKET_DATA_OVERRIDE=PX_LAST","START_DATE_OVERRIDE",TEXT(INDEX(MO_SNA_FPStartDate,0,COLUMN()),"YYYYMMDD"),"END_DATE_OVERRIDE",TEXT(INDEX(MO_Common_QEndDate,0,COLUMN()),"YYYYMMDD")),"N/A")</f>
        <v>N/A</v>
      </c>
      <c r="AJ807" s="284" t="str">
        <f ca="1">IFERROR(BDP(MO.Ticker.Bloomberg&amp;" Equity","INTERVAL_AVG","MARKET_DATA_OVERRIDE=PX_LAST","START_DATE_OVERRIDE",TEXT(INDEX(MO_SNA_FPStartDate,0,COLUMN()),"YYYYMMDD"),"END_DATE_OVERRIDE",TEXT(INDEX(MO_Common_QEndDate,0,COLUMN()),"YYYYMMDD")),"N/A")</f>
        <v>N/A</v>
      </c>
      <c r="AK807" s="284" t="str">
        <f ca="1">IFERROR(BDP(MO.Ticker.Bloomberg&amp;" Equity","INTERVAL_AVG","MARKET_DATA_OVERRIDE=PX_LAST","START_DATE_OVERRIDE",TEXT(INDEX(MO_SNA_FPStartDate,0,COLUMN()),"YYYYMMDD"),"END_DATE_OVERRIDE",TEXT(INDEX(MO_Common_QEndDate,0,COLUMN()),"YYYYMMDD")),"N/A")</f>
        <v>N/A</v>
      </c>
      <c r="AL807" s="284" t="str">
        <f ca="1">IFERROR(BDP(MO.Ticker.Bloomberg&amp;" Equity","INTERVAL_AVG","MARKET_DATA_OVERRIDE=PX_LAST","START_DATE_OVERRIDE",TEXT(INDEX(MO_SNA_FPStartDate,0,COLUMN()),"YYYYMMDD"),"END_DATE_OVERRIDE",TEXT(INDEX(MO_Common_QEndDate,0,COLUMN()),"YYYYMMDD")),"N/A")</f>
        <v>N/A</v>
      </c>
      <c r="AM807" s="284" t="str">
        <f ca="1">IFERROR(BDP(MO.Ticker.Bloomberg&amp;" Equity","INTERVAL_AVG","MARKET_DATA_OVERRIDE=PX_LAST","START_DATE_OVERRIDE",TEXT(INDEX(MO_SNA_FPStartDate,0,COLUMN()),"YYYYMMDD"),"END_DATE_OVERRIDE",TEXT(INDEX(MO_Common_QEndDate,0,COLUMN()),"YYYYMMDD")),"N/A")</f>
        <v>N/A</v>
      </c>
      <c r="AN807" s="284" t="str">
        <f ca="1">IFERROR(BDP(MO.Ticker.Bloomberg&amp;" Equity","INTERVAL_AVG","MARKET_DATA_OVERRIDE=PX_LAST","START_DATE_OVERRIDE",TEXT(INDEX(MO_SNA_FPStartDate,0,COLUMN()),"YYYYMMDD"),"END_DATE_OVERRIDE",TEXT(INDEX(MO_Common_QEndDate,0,COLUMN()),"YYYYMMDD")),"N/A")</f>
        <v>N/A</v>
      </c>
      <c r="AO807" s="284" t="str">
        <f ca="1">IFERROR(BDP(MO.Ticker.Bloomberg&amp;" Equity","INTERVAL_AVG","MARKET_DATA_OVERRIDE=PX_LAST","START_DATE_OVERRIDE",TEXT(INDEX(MO_SNA_FPStartDate,0,COLUMN()),"YYYYMMDD"),"END_DATE_OVERRIDE",TEXT(INDEX(MO_Common_QEndDate,0,COLUMN()),"YYYYMMDD")),"N/A")</f>
        <v>N/A</v>
      </c>
      <c r="AP807" s="284" t="str">
        <f ca="1">IFERROR(BDP(MO.Ticker.Bloomberg&amp;" Equity","INTERVAL_AVG","MARKET_DATA_OVERRIDE=PX_LAST","START_DATE_OVERRIDE",TEXT(INDEX(MO_SNA_FPStartDate,0,COLUMN()),"YYYYMMDD"),"END_DATE_OVERRIDE",TEXT(INDEX(MO_Common_QEndDate,0,COLUMN()),"YYYYMMDD")),"N/A")</f>
        <v>N/A</v>
      </c>
      <c r="AQ807" s="284" t="str">
        <f ca="1">IFERROR(BDP(MO.Ticker.Bloomberg&amp;" Equity","INTERVAL_AVG","MARKET_DATA_OVERRIDE=PX_LAST","START_DATE_OVERRIDE",TEXT(INDEX(MO_SNA_FPStartDate,0,COLUMN()),"YYYYMMDD"),"END_DATE_OVERRIDE",TEXT(INDEX(MO_Common_QEndDate,0,COLUMN()),"YYYYMMDD")),"N/A")</f>
        <v>N/A</v>
      </c>
      <c r="AR807" s="284" t="str">
        <f ca="1">IFERROR(BDP(MO.Ticker.Bloomberg&amp;" Equity","INTERVAL_AVG","MARKET_DATA_OVERRIDE=PX_LAST","START_DATE_OVERRIDE",TEXT(INDEX(MO_SNA_FPStartDate,0,COLUMN()),"YYYYMMDD"),"END_DATE_OVERRIDE",TEXT(INDEX(MO_Common_QEndDate,0,COLUMN()),"YYYYMMDD")),"N/A")</f>
        <v>N/A</v>
      </c>
      <c r="AS807" s="284" t="str">
        <f ca="1">IFERROR(BDP(MO.Ticker.Bloomberg&amp;" Equity","INTERVAL_AVG","MARKET_DATA_OVERRIDE=PX_LAST","START_DATE_OVERRIDE",TEXT(INDEX(MO_SNA_FPStartDate,0,COLUMN()),"YYYYMMDD"),"END_DATE_OVERRIDE",TEXT(INDEX(MO_Common_QEndDate,0,COLUMN()),"YYYYMMDD")),"N/A")</f>
        <v>N/A</v>
      </c>
      <c r="AT807" s="284" t="str">
        <f ca="1">IFERROR(BDP(MO.Ticker.Bloomberg&amp;" Equity","INTERVAL_AVG","MARKET_DATA_OVERRIDE=PX_LAST","START_DATE_OVERRIDE",TEXT(INDEX(MO_SNA_FPStartDate,0,COLUMN()),"YYYYMMDD"),"END_DATE_OVERRIDE",TEXT(INDEX(MO_Common_QEndDate,0,COLUMN()),"YYYYMMDD")),"N/A")</f>
        <v>N/A</v>
      </c>
      <c r="AU807" s="284" t="str">
        <f ca="1">IFERROR(BDP(MO.Ticker.Bloomberg&amp;" Equity","INTERVAL_AVG","MARKET_DATA_OVERRIDE=PX_LAST","START_DATE_OVERRIDE",TEXT(INDEX(MO_SNA_FPStartDate,0,COLUMN()),"YYYYMMDD"),"END_DATE_OVERRIDE",TEXT(INDEX(MO_Common_QEndDate,0,COLUMN()),"YYYYMMDD")),"N/A")</f>
        <v>N/A</v>
      </c>
      <c r="AV807" s="284" t="str">
        <f ca="1">IFERROR(BDP(MO.Ticker.Bloomberg&amp;" Equity","INTERVAL_AVG","MARKET_DATA_OVERRIDE=PX_LAST","START_DATE_OVERRIDE",TEXT(INDEX(MO_SNA_FPStartDate,0,COLUMN()),"YYYYMMDD"),"END_DATE_OVERRIDE",TEXT(INDEX(MO_Common_QEndDate,0,COLUMN()),"YYYYMMDD")),"N/A")</f>
        <v>N/A</v>
      </c>
      <c r="AW807" s="284" t="str">
        <f ca="1">IFERROR(BDP(MO.Ticker.Bloomberg&amp;" Equity","INTERVAL_AVG","MARKET_DATA_OVERRIDE=PX_LAST","START_DATE_OVERRIDE",TEXT(INDEX(MO_SNA_FPStartDate,0,COLUMN()),"YYYYMMDD"),"END_DATE_OVERRIDE",TEXT(INDEX(MO_Common_QEndDate,0,COLUMN()),"YYYYMMDD")),"N/A")</f>
        <v>N/A</v>
      </c>
      <c r="AX807" s="284" t="str">
        <f ca="1">IFERROR(BDP(MO.Ticker.Bloomberg&amp;" Equity","INTERVAL_AVG","MARKET_DATA_OVERRIDE=PX_LAST","START_DATE_OVERRIDE",TEXT(INDEX(MO_SNA_FPStartDate,0,COLUMN()),"YYYYMMDD"),"END_DATE_OVERRIDE",TEXT(INDEX(MO_Common_QEndDate,0,COLUMN()),"YYYYMMDD")),"N/A")</f>
        <v>N/A</v>
      </c>
      <c r="AY807" s="284" t="str">
        <f ca="1">IFERROR(BDP(MO.Ticker.Bloomberg&amp;" Equity","INTERVAL_AVG","MARKET_DATA_OVERRIDE=PX_LAST","START_DATE_OVERRIDE",TEXT(INDEX(MO_SNA_FPStartDate,0,COLUMN()),"YYYYMMDD"),"END_DATE_OVERRIDE",TEXT(INDEX(MO_Common_QEndDate,0,COLUMN()),"YYYYMMDD")),"N/A")</f>
        <v>N/A</v>
      </c>
      <c r="AZ807" s="284" t="str">
        <f ca="1">IFERROR(BDP(MO.Ticker.Bloomberg&amp;" Equity","INTERVAL_AVG","MARKET_DATA_OVERRIDE=PX_LAST","START_DATE_OVERRIDE",TEXT(INDEX(MO_SNA_FPStartDate,0,COLUMN()),"YYYYMMDD"),"END_DATE_OVERRIDE",TEXT(INDEX(MO_Common_QEndDate,0,COLUMN()),"YYYYMMDD")),"N/A")</f>
        <v>N/A</v>
      </c>
      <c r="BA807" s="284" t="str">
        <f ca="1">IFERROR(BDP(MO.Ticker.Bloomberg&amp;" Equity","INTERVAL_AVG","MARKET_DATA_OVERRIDE=PX_LAST","START_DATE_OVERRIDE",TEXT(INDEX(MO_SNA_FPStartDate,0,COLUMN()),"YYYYMMDD"),"END_DATE_OVERRIDE",TEXT(INDEX(MO_Common_QEndDate,0,COLUMN()),"YYYYMMDD")),"N/A")</f>
        <v>N/A</v>
      </c>
      <c r="BB807" s="284" t="str">
        <f ca="1">IFERROR(BDP(MO.Ticker.Bloomberg&amp;" Equity","INTERVAL_AVG","MARKET_DATA_OVERRIDE=PX_LAST","START_DATE_OVERRIDE",TEXT(INDEX(MO_SNA_FPStartDate,0,COLUMN()),"YYYYMMDD"),"END_DATE_OVERRIDE",TEXT(INDEX(MO_Common_QEndDate,0,COLUMN()),"YYYYMMDD")),"N/A")</f>
        <v>N/A</v>
      </c>
      <c r="BC807" s="284" t="str">
        <f ca="1">IFERROR(BDP(MO.Ticker.Bloomberg&amp;" Equity","INTERVAL_AVG","MARKET_DATA_OVERRIDE=PX_LAST","START_DATE_OVERRIDE",TEXT(INDEX(MO_SNA_FPStartDate,0,COLUMN()),"YYYYMMDD"),"END_DATE_OVERRIDE",TEXT(INDEX(MO_Common_QEndDate,0,COLUMN()),"YYYYMMDD")),"N/A")</f>
        <v>N/A</v>
      </c>
      <c r="BD807" s="284" t="str">
        <f ca="1">IFERROR(BDP(MO.Ticker.Bloomberg&amp;" Equity","INTERVAL_AVG","MARKET_DATA_OVERRIDE=PX_LAST","START_DATE_OVERRIDE",TEXT(INDEX(MO_SNA_FPStartDate,0,COLUMN()),"YYYYMMDD"),"END_DATE_OVERRIDE",TEXT(INDEX(MO_Common_QEndDate,0,COLUMN()),"YYYYMMDD")),"N/A")</f>
        <v>N/A</v>
      </c>
      <c r="BE807" s="284" t="str">
        <f ca="1">IFERROR(BDP(MO.Ticker.Bloomberg&amp;" Equity","INTERVAL_AVG","MARKET_DATA_OVERRIDE=PX_LAST","START_DATE_OVERRIDE",TEXT(INDEX(MO_SNA_FPStartDate,0,COLUMN()),"YYYYMMDD"),"END_DATE_OVERRIDE",TEXT(INDEX(MO_Common_QEndDate,0,COLUMN()),"YYYYMMDD")),"N/A")</f>
        <v>N/A</v>
      </c>
      <c r="BF807" s="284" t="str">
        <f ca="1">IFERROR(BDP(MO.Ticker.Bloomberg&amp;" Equity","INTERVAL_AVG","MARKET_DATA_OVERRIDE=PX_LAST","START_DATE_OVERRIDE",TEXT(INDEX(MO_SNA_FPStartDate,0,COLUMN()),"YYYYMMDD"),"END_DATE_OVERRIDE",TEXT(INDEX(MO_Common_QEndDate,0,COLUMN()),"YYYYMMDD")),"N/A")</f>
        <v>N/A</v>
      </c>
      <c r="BG807" s="284" t="str">
        <f ca="1">IFERROR(BDP(MO.Ticker.Bloomberg&amp;" Equity","INTERVAL_AVG","MARKET_DATA_OVERRIDE=PX_LAST","START_DATE_OVERRIDE",TEXT(INDEX(MO_SNA_FPStartDate,0,COLUMN()),"YYYYMMDD"),"END_DATE_OVERRIDE",TEXT(INDEX(MO_Common_QEndDate,0,COLUMN()),"YYYYMMDD")),"N/A")</f>
        <v>N/A</v>
      </c>
      <c r="BH807" s="561" t="str">
        <f ca="1">IFERROR(BDP(MO.Ticker.Bloomberg&amp;" Equity","INTERVAL_AVG","MARKET_DATA_OVERRIDE=PX_LAST","START_DATE_OVERRIDE",TEXT(INDEX(MO_SNA_FPStartDate,0,COLUMN()),"YYYYMMDD"),"END_DATE_OVERRIDE",TEXT(INDEX(MO_Common_QEndDate,0,COLUMN()),"YYYYMMDD")),"N/A")</f>
        <v>N/A</v>
      </c>
      <c r="BI807" s="284" t="str">
        <f ca="1">IFERROR(BDP(MO.Ticker.Bloomberg&amp;" Equity","INTERVAL_AVG","MARKET_DATA_OVERRIDE=PX_LAST","START_DATE_OVERRIDE",TEXT(INDEX(MO_SNA_FPStartDate,0,COLUMN()),"YYYYMMDD"),"END_DATE_OVERRIDE",TEXT(INDEX(MO_Common_QEndDate,0,COLUMN()),"YYYYMMDD")),"N/A")</f>
        <v>N/A</v>
      </c>
      <c r="BJ807" s="284" t="str">
        <f ca="1">IFERROR(BDP(MO.Ticker.Bloomberg&amp;" Equity","INTERVAL_AVG","MARKET_DATA_OVERRIDE=PX_LAST","START_DATE_OVERRIDE",TEXT(INDEX(MO_SNA_FPStartDate,0,COLUMN()),"YYYYMMDD"),"END_DATE_OVERRIDE",TEXT(INDEX(MO_Common_QEndDate,0,COLUMN()),"YYYYMMDD")),"N/A")</f>
        <v>N/A</v>
      </c>
      <c r="BK807" s="284" t="str">
        <f ca="1">IFERROR(BDP(MO.Ticker.Bloomberg&amp;" Equity","INTERVAL_AVG","MARKET_DATA_OVERRIDE=PX_LAST","START_DATE_OVERRIDE",TEXT(INDEX(MO_SNA_FPStartDate,0,COLUMN()),"YYYYMMDD"),"END_DATE_OVERRIDE",TEXT(INDEX(MO_Common_QEndDate,0,COLUMN()),"YYYYMMDD")),"N/A")</f>
        <v>N/A</v>
      </c>
      <c r="BL807" s="284" t="str">
        <f ca="1">IFERROR(BDP(MO.Ticker.Bloomberg&amp;" Equity","INTERVAL_AVG","MARKET_DATA_OVERRIDE=PX_LAST","START_DATE_OVERRIDE",TEXT(INDEX(MO_SNA_FPStartDate,0,COLUMN()),"YYYYMMDD"),"END_DATE_OVERRIDE",TEXT(INDEX(MO_Common_QEndDate,0,COLUMN()),"YYYYMMDD")),"N/A")</f>
        <v>N/A</v>
      </c>
      <c r="BM807" s="284" t="str">
        <f ca="1">IFERROR(BDP(MO.Ticker.Bloomberg&amp;" Equity","INTERVAL_AVG","MARKET_DATA_OVERRIDE=PX_LAST","START_DATE_OVERRIDE",TEXT(INDEX(MO_SNA_FPStartDate,0,COLUMN()),"YYYYMMDD"),"END_DATE_OVERRIDE",TEXT(INDEX(MO_Common_QEndDate,0,COLUMN()),"YYYYMMDD")),"N/A")</f>
        <v>N/A</v>
      </c>
      <c r="BN807" s="284" t="str">
        <f ca="1">IFERROR(BDP(MO.Ticker.Bloomberg&amp;" Equity","INTERVAL_AVG","MARKET_DATA_OVERRIDE=PX_LAST","START_DATE_OVERRIDE",TEXT(INDEX(MO_SNA_FPStartDate,0,COLUMN()),"YYYYMMDD"),"END_DATE_OVERRIDE",TEXT(INDEX(MO_Common_QEndDate,0,COLUMN()),"YYYYMMDD")),"N/A")</f>
        <v>N/A</v>
      </c>
      <c r="BO807" s="284" t="str">
        <f ca="1">IFERROR(BDP(MO.Ticker.Bloomberg&amp;" Equity","INTERVAL_AVG","MARKET_DATA_OVERRIDE=PX_LAST","START_DATE_OVERRIDE",TEXT(INDEX(MO_SNA_FPStartDate,0,COLUMN()),"YYYYMMDD"),"END_DATE_OVERRIDE",TEXT(INDEX(MO_Common_QEndDate,0,COLUMN()),"YYYYMMDD")),"N/A")</f>
        <v>N/A</v>
      </c>
      <c r="BP807" s="284" t="str">
        <f ca="1">IFERROR(BDP(MO.Ticker.Bloomberg&amp;" Equity","INTERVAL_AVG","MARKET_DATA_OVERRIDE=PX_LAST","START_DATE_OVERRIDE",TEXT(INDEX(MO_SNA_FPStartDate,0,COLUMN()),"YYYYMMDD"),"END_DATE_OVERRIDE",TEXT(INDEX(MO_Common_QEndDate,0,COLUMN()),"YYYYMMDD")),"N/A")</f>
        <v>N/A</v>
      </c>
      <c r="BQ807" s="284" t="str">
        <f ca="1">IFERROR(BDP(MO.Ticker.Bloomberg&amp;" Equity","INTERVAL_AVG","MARKET_DATA_OVERRIDE=PX_LAST","START_DATE_OVERRIDE",TEXT(INDEX(MO_SNA_FPStartDate,0,COLUMN()),"YYYYMMDD"),"END_DATE_OVERRIDE",TEXT(INDEX(MO_Common_QEndDate,0,COLUMN()),"YYYYMMDD")),"N/A")</f>
        <v>N/A</v>
      </c>
      <c r="BR807" s="286" t="str">
        <f ca="1">IFERROR(BDP(MO.Ticker.Bloomberg&amp;" Equity","INTERVAL_AVG","MARKET_DATA_OVERRIDE=PX_LAST","START_DATE_OVERRIDE",TEXT(INDEX(MO_SNA_FPStartDate,0,COLUMN()),"YYYYMMDD"),"END_DATE_OVERRIDE",TEXT(INDEX(MO_Common_QEndDate,0,COLUMN()),"YYYYMMDD")),"N/A")</f>
        <v>N/A</v>
      </c>
      <c r="BS807" s="348"/>
    </row>
    <row r="808" spans="1:71" s="288" customFormat="1" ht="15" hidden="1" outlineLevel="1">
      <c r="A808" s="289" t="s">
        <v>305</v>
      </c>
      <c r="B808" s="284"/>
      <c r="C808" s="285" t="str">
        <f ca="1">IFERROR(CIQAVG(MO.Ticker.CapIQ,"IQ_LASTSALEPRICE",INDEX(MO_SNA_FPStartDate,0,COLUMN()),INDEX(MO_Common_QEndDate,0,COLUMN())),"N/A")</f>
        <v>N/A</v>
      </c>
      <c r="D808" s="285" t="str">
        <f ca="1">IFERROR(CIQAVG(MO.Ticker.CapIQ,"IQ_LASTSALEPRICE",INDEX(MO_SNA_FPStartDate,0,COLUMN()),INDEX(MO_Common_QEndDate,0,COLUMN())),"N/A")</f>
        <v>N/A</v>
      </c>
      <c r="E808" s="284" t="str">
        <f ca="1">IFERROR(CIQAVG(MO.Ticker.CapIQ,"IQ_LASTSALEPRICE",INDEX(MO_SNA_FPStartDate,0,COLUMN()),INDEX(MO_Common_QEndDate,0,COLUMN())),"N/A")</f>
        <v>N/A</v>
      </c>
      <c r="F808" s="284" t="str">
        <f ca="1">IFERROR(CIQAVG(MO.Ticker.CapIQ,"IQ_LASTSALEPRICE",INDEX(MO_SNA_FPStartDate,0,COLUMN()),INDEX(MO_Common_QEndDate,0,COLUMN())),"N/A")</f>
        <v>N/A</v>
      </c>
      <c r="G808" s="284" t="str">
        <f ca="1">IFERROR(CIQAVG(MO.Ticker.CapIQ,"IQ_LASTSALEPRICE",INDEX(MO_SNA_FPStartDate,0,COLUMN()),INDEX(MO_Common_QEndDate,0,COLUMN())),"N/A")</f>
        <v>N/A</v>
      </c>
      <c r="H808" s="284" t="str">
        <f ca="1">IFERROR(CIQAVG(MO.Ticker.CapIQ,"IQ_LASTSALEPRICE",INDEX(MO_SNA_FPStartDate,0,COLUMN()),INDEX(MO_Common_QEndDate,0,COLUMN())),"N/A")</f>
        <v>N/A</v>
      </c>
      <c r="I808" s="284" t="str">
        <f ca="1">IFERROR(CIQAVG(MO.Ticker.CapIQ,"IQ_LASTSALEPRICE",INDEX(MO_SNA_FPStartDate,0,COLUMN()),INDEX(MO_Common_QEndDate,0,COLUMN())),"N/A")</f>
        <v>N/A</v>
      </c>
      <c r="J808" s="284" t="str">
        <f ca="1">IFERROR(CIQAVG(MO.Ticker.CapIQ,"IQ_LASTSALEPRICE",INDEX(MO_SNA_FPStartDate,0,COLUMN()),INDEX(MO_Common_QEndDate,0,COLUMN())),"N/A")</f>
        <v>N/A</v>
      </c>
      <c r="K808" s="284" t="str">
        <f ca="1">IFERROR(CIQAVG(MO.Ticker.CapIQ,"IQ_LASTSALEPRICE",INDEX(MO_SNA_FPStartDate,0,COLUMN()),INDEX(MO_Common_QEndDate,0,COLUMN())),"N/A")</f>
        <v>N/A</v>
      </c>
      <c r="L808" s="284" t="str">
        <f ca="1">IFERROR(CIQAVG(MO.Ticker.CapIQ,"IQ_LASTSALEPRICE",INDEX(MO_SNA_FPStartDate,0,COLUMN()),INDEX(MO_Common_QEndDate,0,COLUMN())),"N/A")</f>
        <v>N/A</v>
      </c>
      <c r="M808" s="284" t="str">
        <f ca="1">IFERROR(CIQAVG(MO.Ticker.CapIQ,"IQ_LASTSALEPRICE",INDEX(MO_SNA_FPStartDate,0,COLUMN()),INDEX(MO_Common_QEndDate,0,COLUMN())),"N/A")</f>
        <v>N/A</v>
      </c>
      <c r="N808" s="284" t="str">
        <f ca="1">IFERROR(CIQAVG(MO.Ticker.CapIQ,"IQ_LASTSALEPRICE",INDEX(MO_SNA_FPStartDate,0,COLUMN()),INDEX(MO_Common_QEndDate,0,COLUMN())),"N/A")</f>
        <v>N/A</v>
      </c>
      <c r="O808" s="284" t="str">
        <f ca="1">IFERROR(CIQAVG(MO.Ticker.CapIQ,"IQ_LASTSALEPRICE",INDEX(MO_SNA_FPStartDate,0,COLUMN()),INDEX(MO_Common_QEndDate,0,COLUMN())),"N/A")</f>
        <v>N/A</v>
      </c>
      <c r="P808" s="284" t="str">
        <f ca="1">IFERROR(CIQAVG(MO.Ticker.CapIQ,"IQ_LASTSALEPRICE",INDEX(MO_SNA_FPStartDate,0,COLUMN()),INDEX(MO_Common_QEndDate,0,COLUMN())),"N/A")</f>
        <v>N/A</v>
      </c>
      <c r="Q808" s="284" t="str">
        <f ca="1">IFERROR(CIQAVG(MO.Ticker.CapIQ,"IQ_LASTSALEPRICE",INDEX(MO_SNA_FPStartDate,0,COLUMN()),INDEX(MO_Common_QEndDate,0,COLUMN())),"N/A")</f>
        <v>N/A</v>
      </c>
      <c r="R808" s="284" t="str">
        <f ca="1">IFERROR(CIQAVG(MO.Ticker.CapIQ,"IQ_LASTSALEPRICE",INDEX(MO_SNA_FPStartDate,0,COLUMN()),INDEX(MO_Common_QEndDate,0,COLUMN())),"N/A")</f>
        <v>N/A</v>
      </c>
      <c r="S808" s="284" t="str">
        <f ca="1">IFERROR(CIQAVG(MO.Ticker.CapIQ,"IQ_LASTSALEPRICE",INDEX(MO_SNA_FPStartDate,0,COLUMN()),INDEX(MO_Common_QEndDate,0,COLUMN())),"N/A")</f>
        <v>N/A</v>
      </c>
      <c r="T808" s="284" t="str">
        <f ca="1">IFERROR(CIQAVG(MO.Ticker.CapIQ,"IQ_LASTSALEPRICE",INDEX(MO_SNA_FPStartDate,0,COLUMN()),INDEX(MO_Common_QEndDate,0,COLUMN())),"N/A")</f>
        <v>N/A</v>
      </c>
      <c r="U808" s="284" t="str">
        <f ca="1">IFERROR(CIQAVG(MO.Ticker.CapIQ,"IQ_LASTSALEPRICE",INDEX(MO_SNA_FPStartDate,0,COLUMN()),INDEX(MO_Common_QEndDate,0,COLUMN())),"N/A")</f>
        <v>N/A</v>
      </c>
      <c r="V808" s="284" t="str">
        <f ca="1">IFERROR(CIQAVG(MO.Ticker.CapIQ,"IQ_LASTSALEPRICE",INDEX(MO_SNA_FPStartDate,0,COLUMN()),INDEX(MO_Common_QEndDate,0,COLUMN())),"N/A")</f>
        <v>N/A</v>
      </c>
      <c r="W808" s="284" t="str">
        <f ca="1">IFERROR(CIQAVG(MO.Ticker.CapIQ,"IQ_LASTSALEPRICE",INDEX(MO_SNA_FPStartDate,0,COLUMN()),INDEX(MO_Common_QEndDate,0,COLUMN())),"N/A")</f>
        <v>N/A</v>
      </c>
      <c r="X808" s="284" t="str">
        <f ca="1">IFERROR(CIQAVG(MO.Ticker.CapIQ,"IQ_LASTSALEPRICE",INDEX(MO_SNA_FPStartDate,0,COLUMN()),INDEX(MO_Common_QEndDate,0,COLUMN())),"N/A")</f>
        <v>N/A</v>
      </c>
      <c r="Y808" s="284" t="str">
        <f ca="1">IFERROR(CIQAVG(MO.Ticker.CapIQ,"IQ_LASTSALEPRICE",INDEX(MO_SNA_FPStartDate,0,COLUMN()),INDEX(MO_Common_QEndDate,0,COLUMN())),"N/A")</f>
        <v>N/A</v>
      </c>
      <c r="Z808" s="284" t="str">
        <f ca="1">IFERROR(CIQAVG(MO.Ticker.CapIQ,"IQ_LASTSALEPRICE",INDEX(MO_SNA_FPStartDate,0,COLUMN()),INDEX(MO_Common_QEndDate,0,COLUMN())),"N/A")</f>
        <v>N/A</v>
      </c>
      <c r="AA808" s="284" t="str">
        <f ca="1">IFERROR(CIQAVG(MO.Ticker.CapIQ,"IQ_LASTSALEPRICE",INDEX(MO_SNA_FPStartDate,0,COLUMN()),INDEX(MO_Common_QEndDate,0,COLUMN())),"N/A")</f>
        <v>N/A</v>
      </c>
      <c r="AB808" s="284" t="str">
        <f ca="1">IFERROR(CIQAVG(MO.Ticker.CapIQ,"IQ_LASTSALEPRICE",INDEX(MO_SNA_FPStartDate,0,COLUMN()),INDEX(MO_Common_QEndDate,0,COLUMN())),"N/A")</f>
        <v>N/A</v>
      </c>
      <c r="AC808" s="284" t="str">
        <f ca="1">IFERROR(CIQAVG(MO.Ticker.CapIQ,"IQ_LASTSALEPRICE",INDEX(MO_SNA_FPStartDate,0,COLUMN()),INDEX(MO_Common_QEndDate,0,COLUMN())),"N/A")</f>
        <v>N/A</v>
      </c>
      <c r="AD808" s="284" t="str">
        <f ca="1">IFERROR(CIQAVG(MO.Ticker.CapIQ,"IQ_LASTSALEPRICE",INDEX(MO_SNA_FPStartDate,0,COLUMN()),INDEX(MO_Common_QEndDate,0,COLUMN())),"N/A")</f>
        <v>N/A</v>
      </c>
      <c r="AE808" s="284" t="str">
        <f ca="1">IFERROR(CIQAVG(MO.Ticker.CapIQ,"IQ_LASTSALEPRICE",INDEX(MO_SNA_FPStartDate,0,COLUMN()),INDEX(MO_Common_QEndDate,0,COLUMN())),"N/A")</f>
        <v>N/A</v>
      </c>
      <c r="AF808" s="284" t="str">
        <f ca="1">IFERROR(CIQAVG(MO.Ticker.CapIQ,"IQ_LASTSALEPRICE",INDEX(MO_SNA_FPStartDate,0,COLUMN()),INDEX(MO_Common_QEndDate,0,COLUMN())),"N/A")</f>
        <v>N/A</v>
      </c>
      <c r="AG808" s="284" t="str">
        <f ca="1">IFERROR(CIQAVG(MO.Ticker.CapIQ,"IQ_LASTSALEPRICE",INDEX(MO_SNA_FPStartDate,0,COLUMN()),INDEX(MO_Common_QEndDate,0,COLUMN())),"N/A")</f>
        <v>N/A</v>
      </c>
      <c r="AH808" s="284" t="str">
        <f ca="1">IFERROR(CIQAVG(MO.Ticker.CapIQ,"IQ_LASTSALEPRICE",INDEX(MO_SNA_FPStartDate,0,COLUMN()),INDEX(MO_Common_QEndDate,0,COLUMN())),"N/A")</f>
        <v>N/A</v>
      </c>
      <c r="AI808" s="284" t="str">
        <f ca="1">IFERROR(CIQAVG(MO.Ticker.CapIQ,"IQ_LASTSALEPRICE",INDEX(MO_SNA_FPStartDate,0,COLUMN()),INDEX(MO_Common_QEndDate,0,COLUMN())),"N/A")</f>
        <v>N/A</v>
      </c>
      <c r="AJ808" s="284" t="str">
        <f ca="1">IFERROR(CIQAVG(MO.Ticker.CapIQ,"IQ_LASTSALEPRICE",INDEX(MO_SNA_FPStartDate,0,COLUMN()),INDEX(MO_Common_QEndDate,0,COLUMN())),"N/A")</f>
        <v>N/A</v>
      </c>
      <c r="AK808" s="284" t="str">
        <f ca="1">IFERROR(CIQAVG(MO.Ticker.CapIQ,"IQ_LASTSALEPRICE",INDEX(MO_SNA_FPStartDate,0,COLUMN()),INDEX(MO_Common_QEndDate,0,COLUMN())),"N/A")</f>
        <v>N/A</v>
      </c>
      <c r="AL808" s="284" t="str">
        <f ca="1">IFERROR(CIQAVG(MO.Ticker.CapIQ,"IQ_LASTSALEPRICE",INDEX(MO_SNA_FPStartDate,0,COLUMN()),INDEX(MO_Common_QEndDate,0,COLUMN())),"N/A")</f>
        <v>N/A</v>
      </c>
      <c r="AM808" s="284" t="str">
        <f ca="1">IFERROR(CIQAVG(MO.Ticker.CapIQ,"IQ_LASTSALEPRICE",INDEX(MO_SNA_FPStartDate,0,COLUMN()),INDEX(MO_Common_QEndDate,0,COLUMN())),"N/A")</f>
        <v>N/A</v>
      </c>
      <c r="AN808" s="284" t="str">
        <f ca="1">IFERROR(CIQAVG(MO.Ticker.CapIQ,"IQ_LASTSALEPRICE",INDEX(MO_SNA_FPStartDate,0,COLUMN()),INDEX(MO_Common_QEndDate,0,COLUMN())),"N/A")</f>
        <v>N/A</v>
      </c>
      <c r="AO808" s="284" t="str">
        <f ca="1">IFERROR(CIQAVG(MO.Ticker.CapIQ,"IQ_LASTSALEPRICE",INDEX(MO_SNA_FPStartDate,0,COLUMN()),INDEX(MO_Common_QEndDate,0,COLUMN())),"N/A")</f>
        <v>N/A</v>
      </c>
      <c r="AP808" s="284" t="str">
        <f ca="1">IFERROR(CIQAVG(MO.Ticker.CapIQ,"IQ_LASTSALEPRICE",INDEX(MO_SNA_FPStartDate,0,COLUMN()),INDEX(MO_Common_QEndDate,0,COLUMN())),"N/A")</f>
        <v>N/A</v>
      </c>
      <c r="AQ808" s="284" t="str">
        <f ca="1">IFERROR(CIQAVG(MO.Ticker.CapIQ,"IQ_LASTSALEPRICE",INDEX(MO_SNA_FPStartDate,0,COLUMN()),INDEX(MO_Common_QEndDate,0,COLUMN())),"N/A")</f>
        <v>N/A</v>
      </c>
      <c r="AR808" s="284" t="str">
        <f ca="1">IFERROR(CIQAVG(MO.Ticker.CapIQ,"IQ_LASTSALEPRICE",INDEX(MO_SNA_FPStartDate,0,COLUMN()),INDEX(MO_Common_QEndDate,0,COLUMN())),"N/A")</f>
        <v>N/A</v>
      </c>
      <c r="AS808" s="284" t="str">
        <f ca="1">IFERROR(CIQAVG(MO.Ticker.CapIQ,"IQ_LASTSALEPRICE",INDEX(MO_SNA_FPStartDate,0,COLUMN()),INDEX(MO_Common_QEndDate,0,COLUMN())),"N/A")</f>
        <v>N/A</v>
      </c>
      <c r="AT808" s="284" t="str">
        <f ca="1">IFERROR(CIQAVG(MO.Ticker.CapIQ,"IQ_LASTSALEPRICE",INDEX(MO_SNA_FPStartDate,0,COLUMN()),INDEX(MO_Common_QEndDate,0,COLUMN())),"N/A")</f>
        <v>N/A</v>
      </c>
      <c r="AU808" s="284" t="str">
        <f ca="1">IFERROR(CIQAVG(MO.Ticker.CapIQ,"IQ_LASTSALEPRICE",INDEX(MO_SNA_FPStartDate,0,COLUMN()),INDEX(MO_Common_QEndDate,0,COLUMN())),"N/A")</f>
        <v>N/A</v>
      </c>
      <c r="AV808" s="284" t="str">
        <f ca="1">IFERROR(CIQAVG(MO.Ticker.CapIQ,"IQ_LASTSALEPRICE",INDEX(MO_SNA_FPStartDate,0,COLUMN()),INDEX(MO_Common_QEndDate,0,COLUMN())),"N/A")</f>
        <v>N/A</v>
      </c>
      <c r="AW808" s="284" t="str">
        <f ca="1">IFERROR(CIQAVG(MO.Ticker.CapIQ,"IQ_LASTSALEPRICE",INDEX(MO_SNA_FPStartDate,0,COLUMN()),INDEX(MO_Common_QEndDate,0,COLUMN())),"N/A")</f>
        <v>N/A</v>
      </c>
      <c r="AX808" s="284" t="str">
        <f ca="1">IFERROR(CIQAVG(MO.Ticker.CapIQ,"IQ_LASTSALEPRICE",INDEX(MO_SNA_FPStartDate,0,COLUMN()),INDEX(MO_Common_QEndDate,0,COLUMN())),"N/A")</f>
        <v>N/A</v>
      </c>
      <c r="AY808" s="284" t="str">
        <f ca="1">IFERROR(CIQAVG(MO.Ticker.CapIQ,"IQ_LASTSALEPRICE",INDEX(MO_SNA_FPStartDate,0,COLUMN()),INDEX(MO_Common_QEndDate,0,COLUMN())),"N/A")</f>
        <v>N/A</v>
      </c>
      <c r="AZ808" s="284" t="str">
        <f ca="1">IFERROR(CIQAVG(MO.Ticker.CapIQ,"IQ_LASTSALEPRICE",INDEX(MO_SNA_FPStartDate,0,COLUMN()),INDEX(MO_Common_QEndDate,0,COLUMN())),"N/A")</f>
        <v>N/A</v>
      </c>
      <c r="BA808" s="284" t="str">
        <f ca="1">IFERROR(CIQAVG(MO.Ticker.CapIQ,"IQ_LASTSALEPRICE",INDEX(MO_SNA_FPStartDate,0,COLUMN()),INDEX(MO_Common_QEndDate,0,COLUMN())),"N/A")</f>
        <v>N/A</v>
      </c>
      <c r="BB808" s="284" t="str">
        <f ca="1">IFERROR(CIQAVG(MO.Ticker.CapIQ,"IQ_LASTSALEPRICE",INDEX(MO_SNA_FPStartDate,0,COLUMN()),INDEX(MO_Common_QEndDate,0,COLUMN())),"N/A")</f>
        <v>N/A</v>
      </c>
      <c r="BC808" s="284" t="str">
        <f ca="1">IFERROR(CIQAVG(MO.Ticker.CapIQ,"IQ_LASTSALEPRICE",INDEX(MO_SNA_FPStartDate,0,COLUMN()),INDEX(MO_Common_QEndDate,0,COLUMN())),"N/A")</f>
        <v>N/A</v>
      </c>
      <c r="BD808" s="284" t="str">
        <f ca="1">IFERROR(CIQAVG(MO.Ticker.CapIQ,"IQ_LASTSALEPRICE",INDEX(MO_SNA_FPStartDate,0,COLUMN()),INDEX(MO_Common_QEndDate,0,COLUMN())),"N/A")</f>
        <v>N/A</v>
      </c>
      <c r="BE808" s="284" t="str">
        <f ca="1">IFERROR(CIQAVG(MO.Ticker.CapIQ,"IQ_LASTSALEPRICE",INDEX(MO_SNA_FPStartDate,0,COLUMN()),INDEX(MO_Common_QEndDate,0,COLUMN())),"N/A")</f>
        <v>N/A</v>
      </c>
      <c r="BF808" s="284" t="str">
        <f ca="1">IFERROR(CIQAVG(MO.Ticker.CapIQ,"IQ_LASTSALEPRICE",INDEX(MO_SNA_FPStartDate,0,COLUMN()),INDEX(MO_Common_QEndDate,0,COLUMN())),"N/A")</f>
        <v>N/A</v>
      </c>
      <c r="BG808" s="284" t="str">
        <f ca="1">IFERROR(CIQAVG(MO.Ticker.CapIQ,"IQ_LASTSALEPRICE",INDEX(MO_SNA_FPStartDate,0,COLUMN()),INDEX(MO_Common_QEndDate,0,COLUMN())),"N/A")</f>
        <v>N/A</v>
      </c>
      <c r="BH808" s="561" t="str">
        <f ca="1">IFERROR(CIQAVG(MO.Ticker.CapIQ,"IQ_LASTSALEPRICE",INDEX(MO_SNA_FPStartDate,0,COLUMN()),INDEX(MO_Common_QEndDate,0,COLUMN())),"N/A")</f>
        <v>N/A</v>
      </c>
      <c r="BI808" s="284" t="str">
        <f ca="1">IFERROR(CIQAVG(MO.Ticker.CapIQ,"IQ_LASTSALEPRICE",INDEX(MO_SNA_FPStartDate,0,COLUMN()),INDEX(MO_Common_QEndDate,0,COLUMN())),"N/A")</f>
        <v>N/A</v>
      </c>
      <c r="BJ808" s="284" t="str">
        <f ca="1">IFERROR(CIQAVG(MO.Ticker.CapIQ,"IQ_LASTSALEPRICE",INDEX(MO_SNA_FPStartDate,0,COLUMN()),INDEX(MO_Common_QEndDate,0,COLUMN())),"N/A")</f>
        <v>N/A</v>
      </c>
      <c r="BK808" s="284" t="str">
        <f ca="1">IFERROR(CIQAVG(MO.Ticker.CapIQ,"IQ_LASTSALEPRICE",INDEX(MO_SNA_FPStartDate,0,COLUMN()),INDEX(MO_Common_QEndDate,0,COLUMN())),"N/A")</f>
        <v>N/A</v>
      </c>
      <c r="BL808" s="284" t="str">
        <f ca="1">IFERROR(CIQAVG(MO.Ticker.CapIQ,"IQ_LASTSALEPRICE",INDEX(MO_SNA_FPStartDate,0,COLUMN()),INDEX(MO_Common_QEndDate,0,COLUMN())),"N/A")</f>
        <v>N/A</v>
      </c>
      <c r="BM808" s="284" t="str">
        <f ca="1">IFERROR(CIQAVG(MO.Ticker.CapIQ,"IQ_LASTSALEPRICE",INDEX(MO_SNA_FPStartDate,0,COLUMN()),INDEX(MO_Common_QEndDate,0,COLUMN())),"N/A")</f>
        <v>N/A</v>
      </c>
      <c r="BN808" s="284" t="str">
        <f ca="1">IFERROR(CIQAVG(MO.Ticker.CapIQ,"IQ_LASTSALEPRICE",INDEX(MO_SNA_FPStartDate,0,COLUMN()),INDEX(MO_Common_QEndDate,0,COLUMN())),"N/A")</f>
        <v>N/A</v>
      </c>
      <c r="BO808" s="284" t="str">
        <f ca="1">IFERROR(CIQAVG(MO.Ticker.CapIQ,"IQ_LASTSALEPRICE",INDEX(MO_SNA_FPStartDate,0,COLUMN()),INDEX(MO_Common_QEndDate,0,COLUMN())),"N/A")</f>
        <v>N/A</v>
      </c>
      <c r="BP808" s="284" t="str">
        <f ca="1">IFERROR(CIQAVG(MO.Ticker.CapIQ,"IQ_LASTSALEPRICE",INDEX(MO_SNA_FPStartDate,0,COLUMN()),INDEX(MO_Common_QEndDate,0,COLUMN())),"N/A")</f>
        <v>N/A</v>
      </c>
      <c r="BQ808" s="284" t="str">
        <f ca="1">IFERROR(CIQAVG(MO.Ticker.CapIQ,"IQ_LASTSALEPRICE",INDEX(MO_SNA_FPStartDate,0,COLUMN()),INDEX(MO_Common_QEndDate,0,COLUMN())),"N/A")</f>
        <v>N/A</v>
      </c>
      <c r="BR808" s="286" t="str">
        <f ca="1">IFERROR(CIQAVG(MO.Ticker.CapIQ,"IQ_LASTSALEPRICE",INDEX(MO_SNA_FPStartDate,0,COLUMN()),INDEX(MO_Common_QEndDate,0,COLUMN())),"N/A")</f>
        <v>N/A</v>
      </c>
      <c r="BS808" s="348"/>
    </row>
    <row r="809" spans="1:71" s="288" customFormat="1" ht="15" hidden="1" outlineLevel="1">
      <c r="A809" s="289" t="s">
        <v>306</v>
      </c>
      <c r="B809" s="284"/>
      <c r="C809" s="285" t="str">
        <f ca="1">IFERROR(FDS(MO.Ticker.FactSet,"P_PRICE_AVG"&amp;"("&amp;INDEX(MO_SNA_FPStartDate,0,COLUMN())&amp;","&amp;INDEX(MO_Common_QEndDate,0,COLUMN())&amp;",,,,""PRICE"",""CLOSE"")"),"N/A")</f>
        <v>N/A</v>
      </c>
      <c r="D809" s="285" t="str">
        <f ca="1">IFERROR(FDS(MO.Ticker.FactSet,"P_PRICE_AVG"&amp;"("&amp;INDEX(MO_SNA_FPStartDate,0,COLUMN())&amp;","&amp;INDEX(MO_Common_QEndDate,0,COLUMN())&amp;",,,,""PRICE"",""CLOSE"")"),"N/A")</f>
        <v>N/A</v>
      </c>
      <c r="E809" s="284" t="str">
        <f ca="1">IFERROR(FDS(MO.Ticker.FactSet,"P_PRICE_AVG"&amp;"("&amp;INDEX(MO_SNA_FPStartDate,0,COLUMN())&amp;","&amp;INDEX(MO_Common_QEndDate,0,COLUMN())&amp;",,,,""PRICE"",""CLOSE"")"),"N/A")</f>
        <v>N/A</v>
      </c>
      <c r="F809" s="284" t="str">
        <f ca="1">IFERROR(FDS(MO.Ticker.FactSet,"P_PRICE_AVG"&amp;"("&amp;INDEX(MO_SNA_FPStartDate,0,COLUMN())&amp;","&amp;INDEX(MO_Common_QEndDate,0,COLUMN())&amp;",,,,""PRICE"",""CLOSE"")"),"N/A")</f>
        <v>N/A</v>
      </c>
      <c r="G809" s="284" t="str">
        <f ca="1">IFERROR(FDS(MO.Ticker.FactSet,"P_PRICE_AVG"&amp;"("&amp;INDEX(MO_SNA_FPStartDate,0,COLUMN())&amp;","&amp;INDEX(MO_Common_QEndDate,0,COLUMN())&amp;",,,,""PRICE"",""CLOSE"")"),"N/A")</f>
        <v>N/A</v>
      </c>
      <c r="H809" s="284" t="str">
        <f ca="1">IFERROR(FDS(MO.Ticker.FactSet,"P_PRICE_AVG"&amp;"("&amp;INDEX(MO_SNA_FPStartDate,0,COLUMN())&amp;","&amp;INDEX(MO_Common_QEndDate,0,COLUMN())&amp;",,,,""PRICE"",""CLOSE"")"),"N/A")</f>
        <v>N/A</v>
      </c>
      <c r="I809" s="284" t="str">
        <f ca="1">IFERROR(FDS(MO.Ticker.FactSet,"P_PRICE_AVG"&amp;"("&amp;INDEX(MO_SNA_FPStartDate,0,COLUMN())&amp;","&amp;INDEX(MO_Common_QEndDate,0,COLUMN())&amp;",,,,""PRICE"",""CLOSE"")"),"N/A")</f>
        <v>N/A</v>
      </c>
      <c r="J809" s="284" t="str">
        <f ca="1">IFERROR(FDS(MO.Ticker.FactSet,"P_PRICE_AVG"&amp;"("&amp;INDEX(MO_SNA_FPStartDate,0,COLUMN())&amp;","&amp;INDEX(MO_Common_QEndDate,0,COLUMN())&amp;",,,,""PRICE"",""CLOSE"")"),"N/A")</f>
        <v>N/A</v>
      </c>
      <c r="K809" s="284" t="str">
        <f ca="1">IFERROR(FDS(MO.Ticker.FactSet,"P_PRICE_AVG"&amp;"("&amp;INDEX(MO_SNA_FPStartDate,0,COLUMN())&amp;","&amp;INDEX(MO_Common_QEndDate,0,COLUMN())&amp;",,,,""PRICE"",""CLOSE"")"),"N/A")</f>
        <v>N/A</v>
      </c>
      <c r="L809" s="284" t="str">
        <f ca="1">IFERROR(FDS(MO.Ticker.FactSet,"P_PRICE_AVG"&amp;"("&amp;INDEX(MO_SNA_FPStartDate,0,COLUMN())&amp;","&amp;INDEX(MO_Common_QEndDate,0,COLUMN())&amp;",,,,""PRICE"",""CLOSE"")"),"N/A")</f>
        <v>N/A</v>
      </c>
      <c r="M809" s="284" t="str">
        <f ca="1">IFERROR(FDS(MO.Ticker.FactSet,"P_PRICE_AVG"&amp;"("&amp;INDEX(MO_SNA_FPStartDate,0,COLUMN())&amp;","&amp;INDEX(MO_Common_QEndDate,0,COLUMN())&amp;",,,,""PRICE"",""CLOSE"")"),"N/A")</f>
        <v>N/A</v>
      </c>
      <c r="N809" s="284" t="str">
        <f ca="1">IFERROR(FDS(MO.Ticker.FactSet,"P_PRICE_AVG"&amp;"("&amp;INDEX(MO_SNA_FPStartDate,0,COLUMN())&amp;","&amp;INDEX(MO_Common_QEndDate,0,COLUMN())&amp;",,,,""PRICE"",""CLOSE"")"),"N/A")</f>
        <v>N/A</v>
      </c>
      <c r="O809" s="284" t="str">
        <f ca="1">IFERROR(FDS(MO.Ticker.FactSet,"P_PRICE_AVG"&amp;"("&amp;INDEX(MO_SNA_FPStartDate,0,COLUMN())&amp;","&amp;INDEX(MO_Common_QEndDate,0,COLUMN())&amp;",,,,""PRICE"",""CLOSE"")"),"N/A")</f>
        <v>N/A</v>
      </c>
      <c r="P809" s="284" t="str">
        <f ca="1">IFERROR(FDS(MO.Ticker.FactSet,"P_PRICE_AVG"&amp;"("&amp;INDEX(MO_SNA_FPStartDate,0,COLUMN())&amp;","&amp;INDEX(MO_Common_QEndDate,0,COLUMN())&amp;",,,,""PRICE"",""CLOSE"")"),"N/A")</f>
        <v>N/A</v>
      </c>
      <c r="Q809" s="284" t="str">
        <f ca="1">IFERROR(FDS(MO.Ticker.FactSet,"P_PRICE_AVG"&amp;"("&amp;INDEX(MO_SNA_FPStartDate,0,COLUMN())&amp;","&amp;INDEX(MO_Common_QEndDate,0,COLUMN())&amp;",,,,""PRICE"",""CLOSE"")"),"N/A")</f>
        <v>N/A</v>
      </c>
      <c r="R809" s="284" t="str">
        <f ca="1">IFERROR(FDS(MO.Ticker.FactSet,"P_PRICE_AVG"&amp;"("&amp;INDEX(MO_SNA_FPStartDate,0,COLUMN())&amp;","&amp;INDEX(MO_Common_QEndDate,0,COLUMN())&amp;",,,,""PRICE"",""CLOSE"")"),"N/A")</f>
        <v>N/A</v>
      </c>
      <c r="S809" s="284" t="str">
        <f ca="1">IFERROR(FDS(MO.Ticker.FactSet,"P_PRICE_AVG"&amp;"("&amp;INDEX(MO_SNA_FPStartDate,0,COLUMN())&amp;","&amp;INDEX(MO_Common_QEndDate,0,COLUMN())&amp;",,,,""PRICE"",""CLOSE"")"),"N/A")</f>
        <v>N/A</v>
      </c>
      <c r="T809" s="284" t="str">
        <f ca="1">IFERROR(FDS(MO.Ticker.FactSet,"P_PRICE_AVG"&amp;"("&amp;INDEX(MO_SNA_FPStartDate,0,COLUMN())&amp;","&amp;INDEX(MO_Common_QEndDate,0,COLUMN())&amp;",,,,""PRICE"",""CLOSE"")"),"N/A")</f>
        <v>N/A</v>
      </c>
      <c r="U809" s="284" t="str">
        <f ca="1">IFERROR(FDS(MO.Ticker.FactSet,"P_PRICE_AVG"&amp;"("&amp;INDEX(MO_SNA_FPStartDate,0,COLUMN())&amp;","&amp;INDEX(MO_Common_QEndDate,0,COLUMN())&amp;",,,,""PRICE"",""CLOSE"")"),"N/A")</f>
        <v>N/A</v>
      </c>
      <c r="V809" s="284" t="str">
        <f ca="1">IFERROR(FDS(MO.Ticker.FactSet,"P_PRICE_AVG"&amp;"("&amp;INDEX(MO_SNA_FPStartDate,0,COLUMN())&amp;","&amp;INDEX(MO_Common_QEndDate,0,COLUMN())&amp;",,,,""PRICE"",""CLOSE"")"),"N/A")</f>
        <v>N/A</v>
      </c>
      <c r="W809" s="284" t="str">
        <f ca="1">IFERROR(FDS(MO.Ticker.FactSet,"P_PRICE_AVG"&amp;"("&amp;INDEX(MO_SNA_FPStartDate,0,COLUMN())&amp;","&amp;INDEX(MO_Common_QEndDate,0,COLUMN())&amp;",,,,""PRICE"",""CLOSE"")"),"N/A")</f>
        <v>N/A</v>
      </c>
      <c r="X809" s="284" t="str">
        <f ca="1">IFERROR(FDS(MO.Ticker.FactSet,"P_PRICE_AVG"&amp;"("&amp;INDEX(MO_SNA_FPStartDate,0,COLUMN())&amp;","&amp;INDEX(MO_Common_QEndDate,0,COLUMN())&amp;",,,,""PRICE"",""CLOSE"")"),"N/A")</f>
        <v>N/A</v>
      </c>
      <c r="Y809" s="284" t="str">
        <f ca="1">IFERROR(FDS(MO.Ticker.FactSet,"P_PRICE_AVG"&amp;"("&amp;INDEX(MO_SNA_FPStartDate,0,COLUMN())&amp;","&amp;INDEX(MO_Common_QEndDate,0,COLUMN())&amp;",,,,""PRICE"",""CLOSE"")"),"N/A")</f>
        <v>N/A</v>
      </c>
      <c r="Z809" s="284" t="str">
        <f ca="1">IFERROR(FDS(MO.Ticker.FactSet,"P_PRICE_AVG"&amp;"("&amp;INDEX(MO_SNA_FPStartDate,0,COLUMN())&amp;","&amp;INDEX(MO_Common_QEndDate,0,COLUMN())&amp;",,,,""PRICE"",""CLOSE"")"),"N/A")</f>
        <v>N/A</v>
      </c>
      <c r="AA809" s="284" t="str">
        <f ca="1">IFERROR(FDS(MO.Ticker.FactSet,"P_PRICE_AVG"&amp;"("&amp;INDEX(MO_SNA_FPStartDate,0,COLUMN())&amp;","&amp;INDEX(MO_Common_QEndDate,0,COLUMN())&amp;",,,,""PRICE"",""CLOSE"")"),"N/A")</f>
        <v>N/A</v>
      </c>
      <c r="AB809" s="284" t="str">
        <f ca="1">IFERROR(FDS(MO.Ticker.FactSet,"P_PRICE_AVG"&amp;"("&amp;INDEX(MO_SNA_FPStartDate,0,COLUMN())&amp;","&amp;INDEX(MO_Common_QEndDate,0,COLUMN())&amp;",,,,""PRICE"",""CLOSE"")"),"N/A")</f>
        <v>N/A</v>
      </c>
      <c r="AC809" s="284" t="str">
        <f ca="1">IFERROR(FDS(MO.Ticker.FactSet,"P_PRICE_AVG"&amp;"("&amp;INDEX(MO_SNA_FPStartDate,0,COLUMN())&amp;","&amp;INDEX(MO_Common_QEndDate,0,COLUMN())&amp;",,,,""PRICE"",""CLOSE"")"),"N/A")</f>
        <v>N/A</v>
      </c>
      <c r="AD809" s="284" t="str">
        <f ca="1">IFERROR(FDS(MO.Ticker.FactSet,"P_PRICE_AVG"&amp;"("&amp;INDEX(MO_SNA_FPStartDate,0,COLUMN())&amp;","&amp;INDEX(MO_Common_QEndDate,0,COLUMN())&amp;",,,,""PRICE"",""CLOSE"")"),"N/A")</f>
        <v>N/A</v>
      </c>
      <c r="AE809" s="284" t="str">
        <f ca="1">IFERROR(FDS(MO.Ticker.FactSet,"P_PRICE_AVG"&amp;"("&amp;INDEX(MO_SNA_FPStartDate,0,COLUMN())&amp;","&amp;INDEX(MO_Common_QEndDate,0,COLUMN())&amp;",,,,""PRICE"",""CLOSE"")"),"N/A")</f>
        <v>N/A</v>
      </c>
      <c r="AF809" s="284" t="str">
        <f ca="1">IFERROR(FDS(MO.Ticker.FactSet,"P_PRICE_AVG"&amp;"("&amp;INDEX(MO_SNA_FPStartDate,0,COLUMN())&amp;","&amp;INDEX(MO_Common_QEndDate,0,COLUMN())&amp;",,,,""PRICE"",""CLOSE"")"),"N/A")</f>
        <v>N/A</v>
      </c>
      <c r="AG809" s="284" t="str">
        <f ca="1">IFERROR(FDS(MO.Ticker.FactSet,"P_PRICE_AVG"&amp;"("&amp;INDEX(MO_SNA_FPStartDate,0,COLUMN())&amp;","&amp;INDEX(MO_Common_QEndDate,0,COLUMN())&amp;",,,,""PRICE"",""CLOSE"")"),"N/A")</f>
        <v>N/A</v>
      </c>
      <c r="AH809" s="284" t="str">
        <f ca="1">IFERROR(FDS(MO.Ticker.FactSet,"P_PRICE_AVG"&amp;"("&amp;INDEX(MO_SNA_FPStartDate,0,COLUMN())&amp;","&amp;INDEX(MO_Common_QEndDate,0,COLUMN())&amp;",,,,""PRICE"",""CLOSE"")"),"N/A")</f>
        <v>N/A</v>
      </c>
      <c r="AI809" s="284" t="str">
        <f ca="1">IFERROR(FDS(MO.Ticker.FactSet,"P_PRICE_AVG"&amp;"("&amp;INDEX(MO_SNA_FPStartDate,0,COLUMN())&amp;","&amp;INDEX(MO_Common_QEndDate,0,COLUMN())&amp;",,,,""PRICE"",""CLOSE"")"),"N/A")</f>
        <v>N/A</v>
      </c>
      <c r="AJ809" s="284" t="str">
        <f ca="1">IFERROR(FDS(MO.Ticker.FactSet,"P_PRICE_AVG"&amp;"("&amp;INDEX(MO_SNA_FPStartDate,0,COLUMN())&amp;","&amp;INDEX(MO_Common_QEndDate,0,COLUMN())&amp;",,,,""PRICE"",""CLOSE"")"),"N/A")</f>
        <v>N/A</v>
      </c>
      <c r="AK809" s="284" t="str">
        <f ca="1">IFERROR(FDS(MO.Ticker.FactSet,"P_PRICE_AVG"&amp;"("&amp;INDEX(MO_SNA_FPStartDate,0,COLUMN())&amp;","&amp;INDEX(MO_Common_QEndDate,0,COLUMN())&amp;",,,,""PRICE"",""CLOSE"")"),"N/A")</f>
        <v>N/A</v>
      </c>
      <c r="AL809" s="284" t="str">
        <f ca="1">IFERROR(FDS(MO.Ticker.FactSet,"P_PRICE_AVG"&amp;"("&amp;INDEX(MO_SNA_FPStartDate,0,COLUMN())&amp;","&amp;INDEX(MO_Common_QEndDate,0,COLUMN())&amp;",,,,""PRICE"",""CLOSE"")"),"N/A")</f>
        <v>N/A</v>
      </c>
      <c r="AM809" s="284" t="str">
        <f ca="1">IFERROR(FDS(MO.Ticker.FactSet,"P_PRICE_AVG"&amp;"("&amp;INDEX(MO_SNA_FPStartDate,0,COLUMN())&amp;","&amp;INDEX(MO_Common_QEndDate,0,COLUMN())&amp;",,,,""PRICE"",""CLOSE"")"),"N/A")</f>
        <v>N/A</v>
      </c>
      <c r="AN809" s="284" t="str">
        <f ca="1">IFERROR(FDS(MO.Ticker.FactSet,"P_PRICE_AVG"&amp;"("&amp;INDEX(MO_SNA_FPStartDate,0,COLUMN())&amp;","&amp;INDEX(MO_Common_QEndDate,0,COLUMN())&amp;",,,,""PRICE"",""CLOSE"")"),"N/A")</f>
        <v>N/A</v>
      </c>
      <c r="AO809" s="284" t="str">
        <f ca="1">IFERROR(FDS(MO.Ticker.FactSet,"P_PRICE_AVG"&amp;"("&amp;INDEX(MO_SNA_FPStartDate,0,COLUMN())&amp;","&amp;INDEX(MO_Common_QEndDate,0,COLUMN())&amp;",,,,""PRICE"",""CLOSE"")"),"N/A")</f>
        <v>N/A</v>
      </c>
      <c r="AP809" s="284" t="str">
        <f ca="1">IFERROR(FDS(MO.Ticker.FactSet,"P_PRICE_AVG"&amp;"("&amp;INDEX(MO_SNA_FPStartDate,0,COLUMN())&amp;","&amp;INDEX(MO_Common_QEndDate,0,COLUMN())&amp;",,,,""PRICE"",""CLOSE"")"),"N/A")</f>
        <v>N/A</v>
      </c>
      <c r="AQ809" s="284" t="str">
        <f ca="1">IFERROR(FDS(MO.Ticker.FactSet,"P_PRICE_AVG"&amp;"("&amp;INDEX(MO_SNA_FPStartDate,0,COLUMN())&amp;","&amp;INDEX(MO_Common_QEndDate,0,COLUMN())&amp;",,,,""PRICE"",""CLOSE"")"),"N/A")</f>
        <v>N/A</v>
      </c>
      <c r="AR809" s="284" t="str">
        <f ca="1">IFERROR(FDS(MO.Ticker.FactSet,"P_PRICE_AVG"&amp;"("&amp;INDEX(MO_SNA_FPStartDate,0,COLUMN())&amp;","&amp;INDEX(MO_Common_QEndDate,0,COLUMN())&amp;",,,,""PRICE"",""CLOSE"")"),"N/A")</f>
        <v>N/A</v>
      </c>
      <c r="AS809" s="284" t="str">
        <f ca="1">IFERROR(FDS(MO.Ticker.FactSet,"P_PRICE_AVG"&amp;"("&amp;INDEX(MO_SNA_FPStartDate,0,COLUMN())&amp;","&amp;INDEX(MO_Common_QEndDate,0,COLUMN())&amp;",,,,""PRICE"",""CLOSE"")"),"N/A")</f>
        <v>N/A</v>
      </c>
      <c r="AT809" s="284" t="str">
        <f ca="1">IFERROR(FDS(MO.Ticker.FactSet,"P_PRICE_AVG"&amp;"("&amp;INDEX(MO_SNA_FPStartDate,0,COLUMN())&amp;","&amp;INDEX(MO_Common_QEndDate,0,COLUMN())&amp;",,,,""PRICE"",""CLOSE"")"),"N/A")</f>
        <v>N/A</v>
      </c>
      <c r="AU809" s="284" t="str">
        <f ca="1">IFERROR(FDS(MO.Ticker.FactSet,"P_PRICE_AVG"&amp;"("&amp;INDEX(MO_SNA_FPStartDate,0,COLUMN())&amp;","&amp;INDEX(MO_Common_QEndDate,0,COLUMN())&amp;",,,,""PRICE"",""CLOSE"")"),"N/A")</f>
        <v>N/A</v>
      </c>
      <c r="AV809" s="284" t="str">
        <f ca="1">IFERROR(FDS(MO.Ticker.FactSet,"P_PRICE_AVG"&amp;"("&amp;INDEX(MO_SNA_FPStartDate,0,COLUMN())&amp;","&amp;INDEX(MO_Common_QEndDate,0,COLUMN())&amp;",,,,""PRICE"",""CLOSE"")"),"N/A")</f>
        <v>N/A</v>
      </c>
      <c r="AW809" s="284" t="str">
        <f ca="1">IFERROR(FDS(MO.Ticker.FactSet,"P_PRICE_AVG"&amp;"("&amp;INDEX(MO_SNA_FPStartDate,0,COLUMN())&amp;","&amp;INDEX(MO_Common_QEndDate,0,COLUMN())&amp;",,,,""PRICE"",""CLOSE"")"),"N/A")</f>
        <v>N/A</v>
      </c>
      <c r="AX809" s="284" t="str">
        <f ca="1">IFERROR(FDS(MO.Ticker.FactSet,"P_PRICE_AVG"&amp;"("&amp;INDEX(MO_SNA_FPStartDate,0,COLUMN())&amp;","&amp;INDEX(MO_Common_QEndDate,0,COLUMN())&amp;",,,,""PRICE"",""CLOSE"")"),"N/A")</f>
        <v>N/A</v>
      </c>
      <c r="AY809" s="284" t="str">
        <f ca="1">IFERROR(FDS(MO.Ticker.FactSet,"P_PRICE_AVG"&amp;"("&amp;INDEX(MO_SNA_FPStartDate,0,COLUMN())&amp;","&amp;INDEX(MO_Common_QEndDate,0,COLUMN())&amp;",,,,""PRICE"",""CLOSE"")"),"N/A")</f>
        <v>N/A</v>
      </c>
      <c r="AZ809" s="284" t="str">
        <f ca="1">IFERROR(FDS(MO.Ticker.FactSet,"P_PRICE_AVG"&amp;"("&amp;INDEX(MO_SNA_FPStartDate,0,COLUMN())&amp;","&amp;INDEX(MO_Common_QEndDate,0,COLUMN())&amp;",,,,""PRICE"",""CLOSE"")"),"N/A")</f>
        <v>N/A</v>
      </c>
      <c r="BA809" s="284" t="str">
        <f ca="1">IFERROR(FDS(MO.Ticker.FactSet,"P_PRICE_AVG"&amp;"("&amp;INDEX(MO_SNA_FPStartDate,0,COLUMN())&amp;","&amp;INDEX(MO_Common_QEndDate,0,COLUMN())&amp;",,,,""PRICE"",""CLOSE"")"),"N/A")</f>
        <v>N/A</v>
      </c>
      <c r="BB809" s="284" t="str">
        <f ca="1">IFERROR(FDS(MO.Ticker.FactSet,"P_PRICE_AVG"&amp;"("&amp;INDEX(MO_SNA_FPStartDate,0,COLUMN())&amp;","&amp;INDEX(MO_Common_QEndDate,0,COLUMN())&amp;",,,,""PRICE"",""CLOSE"")"),"N/A")</f>
        <v>N/A</v>
      </c>
      <c r="BC809" s="284" t="str">
        <f ca="1">IFERROR(FDS(MO.Ticker.FactSet,"P_PRICE_AVG"&amp;"("&amp;INDEX(MO_SNA_FPStartDate,0,COLUMN())&amp;","&amp;INDEX(MO_Common_QEndDate,0,COLUMN())&amp;",,,,""PRICE"",""CLOSE"")"),"N/A")</f>
        <v>N/A</v>
      </c>
      <c r="BD809" s="284" t="str">
        <f ca="1">IFERROR(FDS(MO.Ticker.FactSet,"P_PRICE_AVG"&amp;"("&amp;INDEX(MO_SNA_FPStartDate,0,COLUMN())&amp;","&amp;INDEX(MO_Common_QEndDate,0,COLUMN())&amp;",,,,""PRICE"",""CLOSE"")"),"N/A")</f>
        <v>N/A</v>
      </c>
      <c r="BE809" s="284" t="str">
        <f ca="1">IFERROR(FDS(MO.Ticker.FactSet,"P_PRICE_AVG"&amp;"("&amp;INDEX(MO_SNA_FPStartDate,0,COLUMN())&amp;","&amp;INDEX(MO_Common_QEndDate,0,COLUMN())&amp;",,,,""PRICE"",""CLOSE"")"),"N/A")</f>
        <v>N/A</v>
      </c>
      <c r="BF809" s="284" t="str">
        <f ca="1">IFERROR(FDS(MO.Ticker.FactSet,"P_PRICE_AVG"&amp;"("&amp;INDEX(MO_SNA_FPStartDate,0,COLUMN())&amp;","&amp;INDEX(MO_Common_QEndDate,0,COLUMN())&amp;",,,,""PRICE"",""CLOSE"")"),"N/A")</f>
        <v>N/A</v>
      </c>
      <c r="BG809" s="284" t="str">
        <f ca="1">IFERROR(FDS(MO.Ticker.FactSet,"P_PRICE_AVG"&amp;"("&amp;INDEX(MO_SNA_FPStartDate,0,COLUMN())&amp;","&amp;INDEX(MO_Common_QEndDate,0,COLUMN())&amp;",,,,""PRICE"",""CLOSE"")"),"N/A")</f>
        <v>N/A</v>
      </c>
      <c r="BH809" s="561" t="str">
        <f ca="1">IFERROR(FDS(MO.Ticker.FactSet,"P_PRICE_AVG"&amp;"("&amp;INDEX(MO_SNA_FPStartDate,0,COLUMN())&amp;","&amp;INDEX(MO_Common_QEndDate,0,COLUMN())&amp;",,,,""PRICE"",""CLOSE"")"),"N/A")</f>
        <v>N/A</v>
      </c>
      <c r="BI809" s="284" t="str">
        <f ca="1">IFERROR(FDS(MO.Ticker.FactSet,"P_PRICE_AVG"&amp;"("&amp;INDEX(MO_SNA_FPStartDate,0,COLUMN())&amp;","&amp;INDEX(MO_Common_QEndDate,0,COLUMN())&amp;",,,,""PRICE"",""CLOSE"")"),"N/A")</f>
        <v>N/A</v>
      </c>
      <c r="BJ809" s="284" t="str">
        <f ca="1">IFERROR(FDS(MO.Ticker.FactSet,"P_PRICE_AVG"&amp;"("&amp;INDEX(MO_SNA_FPStartDate,0,COLUMN())&amp;","&amp;INDEX(MO_Common_QEndDate,0,COLUMN())&amp;",,,,""PRICE"",""CLOSE"")"),"N/A")</f>
        <v>N/A</v>
      </c>
      <c r="BK809" s="284" t="str">
        <f ca="1">IFERROR(FDS(MO.Ticker.FactSet,"P_PRICE_AVG"&amp;"("&amp;INDEX(MO_SNA_FPStartDate,0,COLUMN())&amp;","&amp;INDEX(MO_Common_QEndDate,0,COLUMN())&amp;",,,,""PRICE"",""CLOSE"")"),"N/A")</f>
        <v>N/A</v>
      </c>
      <c r="BL809" s="284" t="str">
        <f ca="1">IFERROR(FDS(MO.Ticker.FactSet,"P_PRICE_AVG"&amp;"("&amp;INDEX(MO_SNA_FPStartDate,0,COLUMN())&amp;","&amp;INDEX(MO_Common_QEndDate,0,COLUMN())&amp;",,,,""PRICE"",""CLOSE"")"),"N/A")</f>
        <v>N/A</v>
      </c>
      <c r="BM809" s="284" t="str">
        <f ca="1">IFERROR(FDS(MO.Ticker.FactSet,"P_PRICE_AVG"&amp;"("&amp;INDEX(MO_SNA_FPStartDate,0,COLUMN())&amp;","&amp;INDEX(MO_Common_QEndDate,0,COLUMN())&amp;",,,,""PRICE"",""CLOSE"")"),"N/A")</f>
        <v>N/A</v>
      </c>
      <c r="BN809" s="284" t="str">
        <f ca="1">IFERROR(FDS(MO.Ticker.FactSet,"P_PRICE_AVG"&amp;"("&amp;INDEX(MO_SNA_FPStartDate,0,COLUMN())&amp;","&amp;INDEX(MO_Common_QEndDate,0,COLUMN())&amp;",,,,""PRICE"",""CLOSE"")"),"N/A")</f>
        <v>N/A</v>
      </c>
      <c r="BO809" s="284" t="str">
        <f ca="1">IFERROR(FDS(MO.Ticker.FactSet,"P_PRICE_AVG"&amp;"("&amp;INDEX(MO_SNA_FPStartDate,0,COLUMN())&amp;","&amp;INDEX(MO_Common_QEndDate,0,COLUMN())&amp;",,,,""PRICE"",""CLOSE"")"),"N/A")</f>
        <v>N/A</v>
      </c>
      <c r="BP809" s="284" t="str">
        <f ca="1">IFERROR(FDS(MO.Ticker.FactSet,"P_PRICE_AVG"&amp;"("&amp;INDEX(MO_SNA_FPStartDate,0,COLUMN())&amp;","&amp;INDEX(MO_Common_QEndDate,0,COLUMN())&amp;",,,,""PRICE"",""CLOSE"")"),"N/A")</f>
        <v>N/A</v>
      </c>
      <c r="BQ809" s="284" t="str">
        <f ca="1">IFERROR(FDS(MO.Ticker.FactSet,"P_PRICE_AVG"&amp;"("&amp;INDEX(MO_SNA_FPStartDate,0,COLUMN())&amp;","&amp;INDEX(MO_Common_QEndDate,0,COLUMN())&amp;",,,,""PRICE"",""CLOSE"")"),"N/A")</f>
        <v>N/A</v>
      </c>
      <c r="BR809" s="286" t="str">
        <f ca="1">IFERROR(FDS(MO.Ticker.FactSet,"P_PRICE_AVG"&amp;"("&amp;INDEX(MO_SNA_FPStartDate,0,COLUMN())&amp;","&amp;INDEX(MO_Common_QEndDate,0,COLUMN())&amp;",,,,""PRICE"",""CLOSE"")"),"N/A")</f>
        <v>N/A</v>
      </c>
      <c r="BS809" s="348"/>
    </row>
    <row r="810" spans="1:71" s="288" customFormat="1" ht="15" hidden="1" outlineLevel="1">
      <c r="A810" s="289" t="s">
        <v>540</v>
      </c>
      <c r="B810" s="284"/>
      <c r="C810" s="285" t="str">
        <f ca="1">IFERROR(_xll.TR(MO.Ticker.Thomson,"AVG(TR.Priceclose)","sdate:#1 edate:#2",,INDEX(MO_SNA_FPStartDate,0,COLUMN()),INDEX(MO_Common_QEndDate,0,COLUMN())),"N/A")</f>
        <v>N/A</v>
      </c>
      <c r="D810" s="285" t="str">
        <f ca="1">IFERROR(_xll.TR(MO.Ticker.Thomson,"AVG(TR.Priceclose)","sdate:#1 edate:#2",,INDEX(MO_SNA_FPStartDate,0,COLUMN()),INDEX(MO_Common_QEndDate,0,COLUMN())),"N/A")</f>
        <v>N/A</v>
      </c>
      <c r="E810" s="284" t="str">
        <f ca="1">IFERROR(_xll.TR(MO.Ticker.Thomson,"AVG(TR.Priceclose)","sdate:#1 edate:#2",,INDEX(MO_SNA_FPStartDate,0,COLUMN()),INDEX(MO_Common_QEndDate,0,COLUMN())),"N/A")</f>
        <v>N/A</v>
      </c>
      <c r="F810" s="284" t="str">
        <f ca="1">IFERROR(_xll.TR(MO.Ticker.Thomson,"AVG(TR.Priceclose)","sdate:#1 edate:#2",,INDEX(MO_SNA_FPStartDate,0,COLUMN()),INDEX(MO_Common_QEndDate,0,COLUMN())),"N/A")</f>
        <v>N/A</v>
      </c>
      <c r="G810" s="284" t="str">
        <f ca="1">IFERROR(_xll.TR(MO.Ticker.Thomson,"AVG(TR.Priceclose)","sdate:#1 edate:#2",,INDEX(MO_SNA_FPStartDate,0,COLUMN()),INDEX(MO_Common_QEndDate,0,COLUMN())),"N/A")</f>
        <v>N/A</v>
      </c>
      <c r="H810" s="284" t="str">
        <f ca="1">IFERROR(_xll.TR(MO.Ticker.Thomson,"AVG(TR.Priceclose)","sdate:#1 edate:#2",,INDEX(MO_SNA_FPStartDate,0,COLUMN()),INDEX(MO_Common_QEndDate,0,COLUMN())),"N/A")</f>
        <v>N/A</v>
      </c>
      <c r="I810" s="284" t="str">
        <f ca="1">IFERROR(_xll.TR(MO.Ticker.Thomson,"AVG(TR.Priceclose)","sdate:#1 edate:#2",,INDEX(MO_SNA_FPStartDate,0,COLUMN()),INDEX(MO_Common_QEndDate,0,COLUMN())),"N/A")</f>
        <v>N/A</v>
      </c>
      <c r="J810" s="284" t="str">
        <f ca="1">IFERROR(_xll.TR(MO.Ticker.Thomson,"AVG(TR.Priceclose)","sdate:#1 edate:#2",,INDEX(MO_SNA_FPStartDate,0,COLUMN()),INDEX(MO_Common_QEndDate,0,COLUMN())),"N/A")</f>
        <v>N/A</v>
      </c>
      <c r="K810" s="284" t="str">
        <f ca="1">IFERROR(_xll.TR(MO.Ticker.Thomson,"AVG(TR.Priceclose)","sdate:#1 edate:#2",,INDEX(MO_SNA_FPStartDate,0,COLUMN()),INDEX(MO_Common_QEndDate,0,COLUMN())),"N/A")</f>
        <v>N/A</v>
      </c>
      <c r="L810" s="284" t="str">
        <f ca="1">IFERROR(_xll.TR(MO.Ticker.Thomson,"AVG(TR.Priceclose)","sdate:#1 edate:#2",,INDEX(MO_SNA_FPStartDate,0,COLUMN()),INDEX(MO_Common_QEndDate,0,COLUMN())),"N/A")</f>
        <v>N/A</v>
      </c>
      <c r="M810" s="284" t="str">
        <f ca="1">IFERROR(_xll.TR(MO.Ticker.Thomson,"AVG(TR.Priceclose)","sdate:#1 edate:#2",,INDEX(MO_SNA_FPStartDate,0,COLUMN()),INDEX(MO_Common_QEndDate,0,COLUMN())),"N/A")</f>
        <v>N/A</v>
      </c>
      <c r="N810" s="284" t="str">
        <f ca="1">IFERROR(_xll.TR(MO.Ticker.Thomson,"AVG(TR.Priceclose)","sdate:#1 edate:#2",,INDEX(MO_SNA_FPStartDate,0,COLUMN()),INDEX(MO_Common_QEndDate,0,COLUMN())),"N/A")</f>
        <v>N/A</v>
      </c>
      <c r="O810" s="284" t="str">
        <f ca="1">IFERROR(_xll.TR(MO.Ticker.Thomson,"AVG(TR.Priceclose)","sdate:#1 edate:#2",,INDEX(MO_SNA_FPStartDate,0,COLUMN()),INDEX(MO_Common_QEndDate,0,COLUMN())),"N/A")</f>
        <v>N/A</v>
      </c>
      <c r="P810" s="284" t="str">
        <f ca="1">IFERROR(_xll.TR(MO.Ticker.Thomson,"AVG(TR.Priceclose)","sdate:#1 edate:#2",,INDEX(MO_SNA_FPStartDate,0,COLUMN()),INDEX(MO_Common_QEndDate,0,COLUMN())),"N/A")</f>
        <v>N/A</v>
      </c>
      <c r="Q810" s="284" t="str">
        <f ca="1">IFERROR(_xll.TR(MO.Ticker.Thomson,"AVG(TR.Priceclose)","sdate:#1 edate:#2",,INDEX(MO_SNA_FPStartDate,0,COLUMN()),INDEX(MO_Common_QEndDate,0,COLUMN())),"N/A")</f>
        <v>N/A</v>
      </c>
      <c r="R810" s="284" t="str">
        <f ca="1">IFERROR(_xll.TR(MO.Ticker.Thomson,"AVG(TR.Priceclose)","sdate:#1 edate:#2",,INDEX(MO_SNA_FPStartDate,0,COLUMN()),INDEX(MO_Common_QEndDate,0,COLUMN())),"N/A")</f>
        <v>N/A</v>
      </c>
      <c r="S810" s="284" t="str">
        <f ca="1">IFERROR(_xll.TR(MO.Ticker.Thomson,"AVG(TR.Priceclose)","sdate:#1 edate:#2",,INDEX(MO_SNA_FPStartDate,0,COLUMN()),INDEX(MO_Common_QEndDate,0,COLUMN())),"N/A")</f>
        <v>N/A</v>
      </c>
      <c r="T810" s="284" t="str">
        <f ca="1">IFERROR(_xll.TR(MO.Ticker.Thomson,"AVG(TR.Priceclose)","sdate:#1 edate:#2",,INDEX(MO_SNA_FPStartDate,0,COLUMN()),INDEX(MO_Common_QEndDate,0,COLUMN())),"N/A")</f>
        <v>N/A</v>
      </c>
      <c r="U810" s="284" t="str">
        <f ca="1">IFERROR(_xll.TR(MO.Ticker.Thomson,"AVG(TR.Priceclose)","sdate:#1 edate:#2",,INDEX(MO_SNA_FPStartDate,0,COLUMN()),INDEX(MO_Common_QEndDate,0,COLUMN())),"N/A")</f>
        <v>N/A</v>
      </c>
      <c r="V810" s="284" t="str">
        <f ca="1">IFERROR(_xll.TR(MO.Ticker.Thomson,"AVG(TR.Priceclose)","sdate:#1 edate:#2",,INDEX(MO_SNA_FPStartDate,0,COLUMN()),INDEX(MO_Common_QEndDate,0,COLUMN())),"N/A")</f>
        <v>N/A</v>
      </c>
      <c r="W810" s="284" t="str">
        <f ca="1">IFERROR(_xll.TR(MO.Ticker.Thomson,"AVG(TR.Priceclose)","sdate:#1 edate:#2",,INDEX(MO_SNA_FPStartDate,0,COLUMN()),INDEX(MO_Common_QEndDate,0,COLUMN())),"N/A")</f>
        <v>N/A</v>
      </c>
      <c r="X810" s="284" t="str">
        <f ca="1">IFERROR(_xll.TR(MO.Ticker.Thomson,"AVG(TR.Priceclose)","sdate:#1 edate:#2",,INDEX(MO_SNA_FPStartDate,0,COLUMN()),INDEX(MO_Common_QEndDate,0,COLUMN())),"N/A")</f>
        <v>N/A</v>
      </c>
      <c r="Y810" s="284" t="str">
        <f ca="1">IFERROR(_xll.TR(MO.Ticker.Thomson,"AVG(TR.Priceclose)","sdate:#1 edate:#2",,INDEX(MO_SNA_FPStartDate,0,COLUMN()),INDEX(MO_Common_QEndDate,0,COLUMN())),"N/A")</f>
        <v>N/A</v>
      </c>
      <c r="Z810" s="284" t="str">
        <f ca="1">IFERROR(_xll.TR(MO.Ticker.Thomson,"AVG(TR.Priceclose)","sdate:#1 edate:#2",,INDEX(MO_SNA_FPStartDate,0,COLUMN()),INDEX(MO_Common_QEndDate,0,COLUMN())),"N/A")</f>
        <v>N/A</v>
      </c>
      <c r="AA810" s="284" t="str">
        <f ca="1">IFERROR(_xll.TR(MO.Ticker.Thomson,"AVG(TR.Priceclose)","sdate:#1 edate:#2",,INDEX(MO_SNA_FPStartDate,0,COLUMN()),INDEX(MO_Common_QEndDate,0,COLUMN())),"N/A")</f>
        <v>N/A</v>
      </c>
      <c r="AB810" s="284" t="str">
        <f ca="1">IFERROR(_xll.TR(MO.Ticker.Thomson,"AVG(TR.Priceclose)","sdate:#1 edate:#2",,INDEX(MO_SNA_FPStartDate,0,COLUMN()),INDEX(MO_Common_QEndDate,0,COLUMN())),"N/A")</f>
        <v>N/A</v>
      </c>
      <c r="AC810" s="284" t="str">
        <f ca="1">IFERROR(_xll.TR(MO.Ticker.Thomson,"AVG(TR.Priceclose)","sdate:#1 edate:#2",,INDEX(MO_SNA_FPStartDate,0,COLUMN()),INDEX(MO_Common_QEndDate,0,COLUMN())),"N/A")</f>
        <v>N/A</v>
      </c>
      <c r="AD810" s="284" t="str">
        <f ca="1">IFERROR(_xll.TR(MO.Ticker.Thomson,"AVG(TR.Priceclose)","sdate:#1 edate:#2",,INDEX(MO_SNA_FPStartDate,0,COLUMN()),INDEX(MO_Common_QEndDate,0,COLUMN())),"N/A")</f>
        <v>N/A</v>
      </c>
      <c r="AE810" s="284" t="str">
        <f ca="1">IFERROR(_xll.TR(MO.Ticker.Thomson,"AVG(TR.Priceclose)","sdate:#1 edate:#2",,INDEX(MO_SNA_FPStartDate,0,COLUMN()),INDEX(MO_Common_QEndDate,0,COLUMN())),"N/A")</f>
        <v>N/A</v>
      </c>
      <c r="AF810" s="284" t="str">
        <f ca="1">IFERROR(_xll.TR(MO.Ticker.Thomson,"AVG(TR.Priceclose)","sdate:#1 edate:#2",,INDEX(MO_SNA_FPStartDate,0,COLUMN()),INDEX(MO_Common_QEndDate,0,COLUMN())),"N/A")</f>
        <v>N/A</v>
      </c>
      <c r="AG810" s="284" t="str">
        <f ca="1">IFERROR(_xll.TR(MO.Ticker.Thomson,"AVG(TR.Priceclose)","sdate:#1 edate:#2",,INDEX(MO_SNA_FPStartDate,0,COLUMN()),INDEX(MO_Common_QEndDate,0,COLUMN())),"N/A")</f>
        <v>N/A</v>
      </c>
      <c r="AH810" s="284" t="str">
        <f ca="1">IFERROR(_xll.TR(MO.Ticker.Thomson,"AVG(TR.Priceclose)","sdate:#1 edate:#2",,INDEX(MO_SNA_FPStartDate,0,COLUMN()),INDEX(MO_Common_QEndDate,0,COLUMN())),"N/A")</f>
        <v>N/A</v>
      </c>
      <c r="AI810" s="284" t="str">
        <f ca="1">IFERROR(_xll.TR(MO.Ticker.Thomson,"AVG(TR.Priceclose)","sdate:#1 edate:#2",,INDEX(MO_SNA_FPStartDate,0,COLUMN()),INDEX(MO_Common_QEndDate,0,COLUMN())),"N/A")</f>
        <v>N/A</v>
      </c>
      <c r="AJ810" s="284" t="str">
        <f ca="1">IFERROR(_xll.TR(MO.Ticker.Thomson,"AVG(TR.Priceclose)","sdate:#1 edate:#2",,INDEX(MO_SNA_FPStartDate,0,COLUMN()),INDEX(MO_Common_QEndDate,0,COLUMN())),"N/A")</f>
        <v>N/A</v>
      </c>
      <c r="AK810" s="284" t="str">
        <f ca="1">IFERROR(_xll.TR(MO.Ticker.Thomson,"AVG(TR.Priceclose)","sdate:#1 edate:#2",,INDEX(MO_SNA_FPStartDate,0,COLUMN()),INDEX(MO_Common_QEndDate,0,COLUMN())),"N/A")</f>
        <v>N/A</v>
      </c>
      <c r="AL810" s="284" t="str">
        <f ca="1">IFERROR(_xll.TR(MO.Ticker.Thomson,"AVG(TR.Priceclose)","sdate:#1 edate:#2",,INDEX(MO_SNA_FPStartDate,0,COLUMN()),INDEX(MO_Common_QEndDate,0,COLUMN())),"N/A")</f>
        <v>N/A</v>
      </c>
      <c r="AM810" s="284" t="str">
        <f ca="1">IFERROR(_xll.TR(MO.Ticker.Thomson,"AVG(TR.Priceclose)","sdate:#1 edate:#2",,INDEX(MO_SNA_FPStartDate,0,COLUMN()),INDEX(MO_Common_QEndDate,0,COLUMN())),"N/A")</f>
        <v>N/A</v>
      </c>
      <c r="AN810" s="284" t="str">
        <f ca="1">IFERROR(_xll.TR(MO.Ticker.Thomson,"AVG(TR.Priceclose)","sdate:#1 edate:#2",,INDEX(MO_SNA_FPStartDate,0,COLUMN()),INDEX(MO_Common_QEndDate,0,COLUMN())),"N/A")</f>
        <v>N/A</v>
      </c>
      <c r="AO810" s="284" t="str">
        <f ca="1">IFERROR(_xll.TR(MO.Ticker.Thomson,"AVG(TR.Priceclose)","sdate:#1 edate:#2",,INDEX(MO_SNA_FPStartDate,0,COLUMN()),INDEX(MO_Common_QEndDate,0,COLUMN())),"N/A")</f>
        <v>N/A</v>
      </c>
      <c r="AP810" s="284" t="str">
        <f ca="1">IFERROR(_xll.TR(MO.Ticker.Thomson,"AVG(TR.Priceclose)","sdate:#1 edate:#2",,INDEX(MO_SNA_FPStartDate,0,COLUMN()),INDEX(MO_Common_QEndDate,0,COLUMN())),"N/A")</f>
        <v>N/A</v>
      </c>
      <c r="AQ810" s="284" t="str">
        <f ca="1">IFERROR(_xll.TR(MO.Ticker.Thomson,"AVG(TR.Priceclose)","sdate:#1 edate:#2",,INDEX(MO_SNA_FPStartDate,0,COLUMN()),INDEX(MO_Common_QEndDate,0,COLUMN())),"N/A")</f>
        <v>N/A</v>
      </c>
      <c r="AR810" s="284" t="str">
        <f ca="1">IFERROR(_xll.TR(MO.Ticker.Thomson,"AVG(TR.Priceclose)","sdate:#1 edate:#2",,INDEX(MO_SNA_FPStartDate,0,COLUMN()),INDEX(MO_Common_QEndDate,0,COLUMN())),"N/A")</f>
        <v>N/A</v>
      </c>
      <c r="AS810" s="284" t="str">
        <f ca="1">IFERROR(_xll.TR(MO.Ticker.Thomson,"AVG(TR.Priceclose)","sdate:#1 edate:#2",,INDEX(MO_SNA_FPStartDate,0,COLUMN()),INDEX(MO_Common_QEndDate,0,COLUMN())),"N/A")</f>
        <v>N/A</v>
      </c>
      <c r="AT810" s="284" t="str">
        <f ca="1">IFERROR(_xll.TR(MO.Ticker.Thomson,"AVG(TR.Priceclose)","sdate:#1 edate:#2",,INDEX(MO_SNA_FPStartDate,0,COLUMN()),INDEX(MO_Common_QEndDate,0,COLUMN())),"N/A")</f>
        <v>N/A</v>
      </c>
      <c r="AU810" s="284" t="str">
        <f ca="1">IFERROR(_xll.TR(MO.Ticker.Thomson,"AVG(TR.Priceclose)","sdate:#1 edate:#2",,INDEX(MO_SNA_FPStartDate,0,COLUMN()),INDEX(MO_Common_QEndDate,0,COLUMN())),"N/A")</f>
        <v>N/A</v>
      </c>
      <c r="AV810" s="284" t="str">
        <f ca="1">IFERROR(_xll.TR(MO.Ticker.Thomson,"AVG(TR.Priceclose)","sdate:#1 edate:#2",,INDEX(MO_SNA_FPStartDate,0,COLUMN()),INDEX(MO_Common_QEndDate,0,COLUMN())),"N/A")</f>
        <v>N/A</v>
      </c>
      <c r="AW810" s="284" t="str">
        <f ca="1">IFERROR(_xll.TR(MO.Ticker.Thomson,"AVG(TR.Priceclose)","sdate:#1 edate:#2",,INDEX(MO_SNA_FPStartDate,0,COLUMN()),INDEX(MO_Common_QEndDate,0,COLUMN())),"N/A")</f>
        <v>N/A</v>
      </c>
      <c r="AX810" s="284" t="str">
        <f ca="1">IFERROR(_xll.TR(MO.Ticker.Thomson,"AVG(TR.Priceclose)","sdate:#1 edate:#2",,INDEX(MO_SNA_FPStartDate,0,COLUMN()),INDEX(MO_Common_QEndDate,0,COLUMN())),"N/A")</f>
        <v>N/A</v>
      </c>
      <c r="AY810" s="284" t="str">
        <f ca="1">IFERROR(_xll.TR(MO.Ticker.Thomson,"AVG(TR.Priceclose)","sdate:#1 edate:#2",,INDEX(MO_SNA_FPStartDate,0,COLUMN()),INDEX(MO_Common_QEndDate,0,COLUMN())),"N/A")</f>
        <v>N/A</v>
      </c>
      <c r="AZ810" s="284" t="str">
        <f ca="1">IFERROR(_xll.TR(MO.Ticker.Thomson,"AVG(TR.Priceclose)","sdate:#1 edate:#2",,INDEX(MO_SNA_FPStartDate,0,COLUMN()),INDEX(MO_Common_QEndDate,0,COLUMN())),"N/A")</f>
        <v>N/A</v>
      </c>
      <c r="BA810" s="284" t="str">
        <f ca="1">IFERROR(_xll.TR(MO.Ticker.Thomson,"AVG(TR.Priceclose)","sdate:#1 edate:#2",,INDEX(MO_SNA_FPStartDate,0,COLUMN()),INDEX(MO_Common_QEndDate,0,COLUMN())),"N/A")</f>
        <v>N/A</v>
      </c>
      <c r="BB810" s="284" t="str">
        <f ca="1">IFERROR(_xll.TR(MO.Ticker.Thomson,"AVG(TR.Priceclose)","sdate:#1 edate:#2",,INDEX(MO_SNA_FPStartDate,0,COLUMN()),INDEX(MO_Common_QEndDate,0,COLUMN())),"N/A")</f>
        <v>N/A</v>
      </c>
      <c r="BC810" s="284" t="str">
        <f ca="1">IFERROR(_xll.TR(MO.Ticker.Thomson,"AVG(TR.Priceclose)","sdate:#1 edate:#2",,INDEX(MO_SNA_FPStartDate,0,COLUMN()),INDEX(MO_Common_QEndDate,0,COLUMN())),"N/A")</f>
        <v>N/A</v>
      </c>
      <c r="BD810" s="284" t="str">
        <f ca="1">IFERROR(_xll.TR(MO.Ticker.Thomson,"AVG(TR.Priceclose)","sdate:#1 edate:#2",,INDEX(MO_SNA_FPStartDate,0,COLUMN()),INDEX(MO_Common_QEndDate,0,COLUMN())),"N/A")</f>
        <v>N/A</v>
      </c>
      <c r="BE810" s="284" t="str">
        <f ca="1">IFERROR(_xll.TR(MO.Ticker.Thomson,"AVG(TR.Priceclose)","sdate:#1 edate:#2",,INDEX(MO_SNA_FPStartDate,0,COLUMN()),INDEX(MO_Common_QEndDate,0,COLUMN())),"N/A")</f>
        <v>N/A</v>
      </c>
      <c r="BF810" s="284" t="str">
        <f ca="1">IFERROR(_xll.TR(MO.Ticker.Thomson,"AVG(TR.Priceclose)","sdate:#1 edate:#2",,INDEX(MO_SNA_FPStartDate,0,COLUMN()),INDEX(MO_Common_QEndDate,0,COLUMN())),"N/A")</f>
        <v>N/A</v>
      </c>
      <c r="BG810" s="284" t="str">
        <f ca="1">IFERROR(_xll.TR(MO.Ticker.Thomson,"AVG(TR.Priceclose)","sdate:#1 edate:#2",,INDEX(MO_SNA_FPStartDate,0,COLUMN()),INDEX(MO_Common_QEndDate,0,COLUMN())),"N/A")</f>
        <v>N/A</v>
      </c>
      <c r="BH810" s="561" t="str">
        <f ca="1">IFERROR(_xll.TR(MO.Ticker.Thomson,"AVG(TR.Priceclose)","sdate:#1 edate:#2",,INDEX(MO_SNA_FPStartDate,0,COLUMN()),INDEX(MO_Common_QEndDate,0,COLUMN())),"N/A")</f>
        <v>N/A</v>
      </c>
      <c r="BI810" s="284" t="str">
        <f ca="1">IFERROR(_xll.TR(MO.Ticker.Thomson,"AVG(TR.Priceclose)","sdate:#1 edate:#2",,INDEX(MO_SNA_FPStartDate,0,COLUMN()),INDEX(MO_Common_QEndDate,0,COLUMN())),"N/A")</f>
        <v>N/A</v>
      </c>
      <c r="BJ810" s="284" t="str">
        <f ca="1">IFERROR(_xll.TR(MO.Ticker.Thomson,"AVG(TR.Priceclose)","sdate:#1 edate:#2",,INDEX(MO_SNA_FPStartDate,0,COLUMN()),INDEX(MO_Common_QEndDate,0,COLUMN())),"N/A")</f>
        <v>N/A</v>
      </c>
      <c r="BK810" s="284" t="str">
        <f ca="1">IFERROR(_xll.TR(MO.Ticker.Thomson,"AVG(TR.Priceclose)","sdate:#1 edate:#2",,INDEX(MO_SNA_FPStartDate,0,COLUMN()),INDEX(MO_Common_QEndDate,0,COLUMN())),"N/A")</f>
        <v>N/A</v>
      </c>
      <c r="BL810" s="284" t="str">
        <f ca="1">IFERROR(_xll.TR(MO.Ticker.Thomson,"AVG(TR.Priceclose)","sdate:#1 edate:#2",,INDEX(MO_SNA_FPStartDate,0,COLUMN()),INDEX(MO_Common_QEndDate,0,COLUMN())),"N/A")</f>
        <v>N/A</v>
      </c>
      <c r="BM810" s="284" t="str">
        <f ca="1">IFERROR(_xll.TR(MO.Ticker.Thomson,"AVG(TR.Priceclose)","sdate:#1 edate:#2",,INDEX(MO_SNA_FPStartDate,0,COLUMN()),INDEX(MO_Common_QEndDate,0,COLUMN())),"N/A")</f>
        <v>N/A</v>
      </c>
      <c r="BN810" s="284" t="str">
        <f ca="1">IFERROR(_xll.TR(MO.Ticker.Thomson,"AVG(TR.Priceclose)","sdate:#1 edate:#2",,INDEX(MO_SNA_FPStartDate,0,COLUMN()),INDEX(MO_Common_QEndDate,0,COLUMN())),"N/A")</f>
        <v>N/A</v>
      </c>
      <c r="BO810" s="284" t="str">
        <f ca="1">IFERROR(_xll.TR(MO.Ticker.Thomson,"AVG(TR.Priceclose)","sdate:#1 edate:#2",,INDEX(MO_SNA_FPStartDate,0,COLUMN()),INDEX(MO_Common_QEndDate,0,COLUMN())),"N/A")</f>
        <v>N/A</v>
      </c>
      <c r="BP810" s="284" t="str">
        <f ca="1">IFERROR(_xll.TR(MO.Ticker.Thomson,"AVG(TR.Priceclose)","sdate:#1 edate:#2",,INDEX(MO_SNA_FPStartDate,0,COLUMN()),INDEX(MO_Common_QEndDate,0,COLUMN())),"N/A")</f>
        <v>N/A</v>
      </c>
      <c r="BQ810" s="284" t="str">
        <f ca="1">IFERROR(_xll.TR(MO.Ticker.Thomson,"AVG(TR.Priceclose)","sdate:#1 edate:#2",,INDEX(MO_SNA_FPStartDate,0,COLUMN()),INDEX(MO_Common_QEndDate,0,COLUMN())),"N/A")</f>
        <v>N/A</v>
      </c>
      <c r="BR810" s="286" t="str">
        <f ca="1">IFERROR(_xll.TR(MO.Ticker.Thomson,"AVG(TR.Priceclose)","sdate:#1 edate:#2",,INDEX(MO_SNA_FPStartDate,0,COLUMN()),INDEX(MO_Common_QEndDate,0,COLUMN())),"N/A")</f>
        <v>N/A</v>
      </c>
      <c r="BS810" s="348"/>
    </row>
    <row r="811" spans="1:71" s="24" customFormat="1" ht="15" hidden="1" outlineLevel="1">
      <c r="A811" s="259"/>
      <c r="B811" s="828"/>
      <c r="C811" s="277"/>
      <c r="D811" s="277"/>
      <c r="E811" s="828"/>
      <c r="F811" s="828"/>
      <c r="G811" s="828"/>
      <c r="H811" s="828"/>
      <c r="I811" s="828"/>
      <c r="J811" s="828"/>
      <c r="K811" s="828"/>
      <c r="L811" s="828"/>
      <c r="M811" s="828"/>
      <c r="N811" s="828"/>
      <c r="O811" s="828"/>
      <c r="P811" s="828"/>
      <c r="Q811" s="828"/>
      <c r="R811" s="828"/>
      <c r="S811" s="828"/>
      <c r="T811" s="828"/>
      <c r="U811" s="828"/>
      <c r="V811" s="828"/>
      <c r="W811" s="828"/>
      <c r="X811" s="828"/>
      <c r="Y811" s="828"/>
      <c r="Z811" s="828"/>
      <c r="AA811" s="828"/>
      <c r="AB811" s="828"/>
      <c r="AC811" s="828"/>
      <c r="AD811" s="828"/>
      <c r="AE811" s="828"/>
      <c r="AF811" s="828"/>
      <c r="AG811" s="828"/>
      <c r="AH811" s="828"/>
      <c r="AI811" s="828"/>
      <c r="AJ811" s="828"/>
      <c r="AK811" s="828"/>
      <c r="AL811" s="828"/>
      <c r="AM811" s="828"/>
      <c r="AN811" s="828"/>
      <c r="AO811" s="828"/>
      <c r="AP811" s="828"/>
      <c r="AQ811" s="828"/>
      <c r="AR811" s="828"/>
      <c r="AS811" s="828"/>
      <c r="AT811" s="828"/>
      <c r="AU811" s="828"/>
      <c r="AV811" s="828"/>
      <c r="AW811" s="828"/>
      <c r="AX811" s="828"/>
      <c r="AY811" s="828"/>
      <c r="AZ811" s="828"/>
      <c r="BA811" s="828"/>
      <c r="BB811" s="828"/>
      <c r="BC811" s="828"/>
      <c r="BD811" s="828"/>
      <c r="BE811" s="828"/>
      <c r="BF811" s="828"/>
      <c r="BG811" s="828"/>
      <c r="BH811" s="829"/>
      <c r="BI811" s="828"/>
      <c r="BJ811" s="828"/>
      <c r="BK811" s="828"/>
      <c r="BL811" s="828"/>
      <c r="BM811" s="828"/>
      <c r="BN811" s="828"/>
      <c r="BO811" s="828"/>
      <c r="BP811" s="828"/>
      <c r="BQ811" s="828"/>
      <c r="BR811" s="258"/>
      <c r="BS811" s="345"/>
    </row>
    <row r="812" spans="1:71" s="292" customFormat="1" ht="15" collapsed="1">
      <c r="A812" s="290" t="str">
        <f ca="1">"FX Average: "&amp;IF(OR(MO.RealTimeStockPriceToggle=FALSE,VLOOKUP(MO.DataSourceName,MO_SPT_FXAverage_Sources,COLUMN()+2,FALSE)="N/A"),"Real-Time Off Source",MO.DataSourceName)</f>
        <v>FX Average: Real-Time Off Source</v>
      </c>
      <c r="B812" s="601"/>
      <c r="C812" s="600">
        <f ca="1" t="shared" si="1490" ref="C812:AH812">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D812" s="600">
        <f t="shared" ca="1" si="1490"/>
        <v>1</v>
      </c>
      <c r="E812" s="601">
        <f t="shared" ca="1" si="1490"/>
        <v>1</v>
      </c>
      <c r="F812" s="601">
        <f t="shared" ca="1" si="1490"/>
        <v>1</v>
      </c>
      <c r="G812" s="601">
        <f t="shared" ca="1" si="1490"/>
        <v>1</v>
      </c>
      <c r="H812" s="601">
        <f t="shared" ca="1" si="1490"/>
        <v>1</v>
      </c>
      <c r="I812" s="601">
        <f t="shared" ca="1" si="1490"/>
        <v>1</v>
      </c>
      <c r="J812" s="601">
        <f t="shared" ca="1" si="1490"/>
        <v>1</v>
      </c>
      <c r="K812" s="601">
        <f t="shared" ca="1" si="1490"/>
        <v>1</v>
      </c>
      <c r="L812" s="601">
        <f t="shared" ca="1" si="1490"/>
        <v>1</v>
      </c>
      <c r="M812" s="601">
        <f t="shared" ca="1" si="1490"/>
        <v>1</v>
      </c>
      <c r="N812" s="601">
        <f t="shared" ca="1" si="1490"/>
        <v>1</v>
      </c>
      <c r="O812" s="601">
        <f t="shared" ca="1" si="1490"/>
        <v>1</v>
      </c>
      <c r="P812" s="601">
        <f t="shared" ca="1" si="1490"/>
        <v>1</v>
      </c>
      <c r="Q812" s="601">
        <f t="shared" ca="1" si="1490"/>
        <v>1</v>
      </c>
      <c r="R812" s="601">
        <f t="shared" ca="1" si="1490"/>
        <v>1</v>
      </c>
      <c r="S812" s="601">
        <f t="shared" ca="1" si="1490"/>
        <v>1</v>
      </c>
      <c r="T812" s="601">
        <f t="shared" ca="1" si="1490"/>
        <v>1</v>
      </c>
      <c r="U812" s="601">
        <f t="shared" ca="1" si="1490"/>
        <v>1</v>
      </c>
      <c r="V812" s="601">
        <f t="shared" ca="1" si="1490"/>
        <v>1</v>
      </c>
      <c r="W812" s="601">
        <f t="shared" ca="1" si="1490"/>
        <v>1</v>
      </c>
      <c r="X812" s="601">
        <f t="shared" ca="1" si="1490"/>
        <v>1</v>
      </c>
      <c r="Y812" s="601">
        <f t="shared" ca="1" si="1490"/>
        <v>1</v>
      </c>
      <c r="Z812" s="601">
        <f t="shared" ca="1" si="1490"/>
        <v>1</v>
      </c>
      <c r="AA812" s="601">
        <f t="shared" ca="1" si="1490"/>
        <v>1</v>
      </c>
      <c r="AB812" s="601">
        <f t="shared" ca="1" si="1490"/>
        <v>1</v>
      </c>
      <c r="AC812" s="601">
        <f t="shared" ca="1" si="1490"/>
        <v>1</v>
      </c>
      <c r="AD812" s="601">
        <f t="shared" ca="1" si="1490"/>
        <v>1</v>
      </c>
      <c r="AE812" s="601">
        <f t="shared" ca="1" si="1490"/>
        <v>1</v>
      </c>
      <c r="AF812" s="601">
        <f t="shared" ca="1" si="1490"/>
        <v>1</v>
      </c>
      <c r="AG812" s="601">
        <f t="shared" ca="1" si="1490"/>
        <v>1</v>
      </c>
      <c r="AH812" s="601">
        <f t="shared" ca="1" si="1490"/>
        <v>1</v>
      </c>
      <c r="AI812" s="601">
        <f ca="1" t="shared" si="1491" ref="AI812:BJ812">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AJ812" s="601">
        <f t="shared" ca="1" si="1491"/>
        <v>1</v>
      </c>
      <c r="AK812" s="601">
        <f t="shared" ca="1" si="1491"/>
        <v>1</v>
      </c>
      <c r="AL812" s="601">
        <f t="shared" ca="1" si="1491"/>
        <v>1</v>
      </c>
      <c r="AM812" s="601">
        <f t="shared" ca="1" si="1491"/>
        <v>1</v>
      </c>
      <c r="AN812" s="601">
        <f t="shared" ca="1" si="1491"/>
        <v>1</v>
      </c>
      <c r="AO812" s="601">
        <f t="shared" ca="1" si="1491"/>
        <v>1</v>
      </c>
      <c r="AP812" s="601">
        <f t="shared" ca="1" si="1491"/>
        <v>1</v>
      </c>
      <c r="AQ812" s="601">
        <f t="shared" ca="1" si="1491"/>
        <v>1</v>
      </c>
      <c r="AR812" s="601">
        <f t="shared" ca="1" si="1491"/>
        <v>1</v>
      </c>
      <c r="AS812" s="601">
        <f t="shared" ca="1" si="1491"/>
        <v>1</v>
      </c>
      <c r="AT812" s="601">
        <f t="shared" ca="1" si="1491"/>
        <v>1</v>
      </c>
      <c r="AU812" s="601">
        <f t="shared" ca="1" si="1491"/>
        <v>1</v>
      </c>
      <c r="AV812" s="601">
        <f t="shared" ca="1" si="1491"/>
        <v>1</v>
      </c>
      <c r="AW812" s="601">
        <f t="shared" ca="1" si="1491"/>
        <v>1</v>
      </c>
      <c r="AX812" s="601">
        <f t="shared" ca="1" si="1491"/>
        <v>1</v>
      </c>
      <c r="AY812" s="601">
        <f t="shared" ca="1" si="1491"/>
        <v>1</v>
      </c>
      <c r="AZ812" s="601">
        <f t="shared" ca="1" si="1491"/>
        <v>1</v>
      </c>
      <c r="BA812" s="601">
        <f ca="1" t="shared" si="1492" ref="BA812:BI812">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BB812" s="601">
        <f t="shared" ca="1" si="1492"/>
        <v>1</v>
      </c>
      <c r="BC812" s="601">
        <f t="shared" ca="1" si="1492"/>
        <v>1</v>
      </c>
      <c r="BD812" s="601">
        <f t="shared" ca="1" si="1492"/>
        <v>1</v>
      </c>
      <c r="BE812" s="601">
        <f t="shared" ca="1" si="1492"/>
        <v>1</v>
      </c>
      <c r="BF812" s="601">
        <f ca="1">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BG812" s="601">
        <f ca="1">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BH812" s="602">
        <f ca="1">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BI812" s="601">
        <f t="shared" ca="1" si="1492"/>
        <v>1</v>
      </c>
      <c r="BJ812" s="601">
        <f t="shared" ca="1" si="1491"/>
        <v>1</v>
      </c>
      <c r="BK812" s="601">
        <f ca="1" t="shared" si="1493" ref="BK812:BR812">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1</v>
      </c>
      <c r="BL812" s="601">
        <f t="shared" ca="1" si="1493"/>
        <v>1</v>
      </c>
      <c r="BM812" s="601">
        <f t="shared" ca="1" si="1493"/>
        <v>1</v>
      </c>
      <c r="BN812" s="601">
        <f t="shared" ca="1" si="1493"/>
        <v>1</v>
      </c>
      <c r="BO812" s="601">
        <f t="shared" ca="1" si="1493"/>
        <v>1</v>
      </c>
      <c r="BP812" s="601">
        <f t="shared" ca="1" si="1493"/>
        <v>1</v>
      </c>
      <c r="BQ812" s="601">
        <f t="shared" ca="1" si="1493"/>
        <v>1</v>
      </c>
      <c r="BR812" s="603">
        <f t="shared" ca="1" si="1493"/>
        <v>1</v>
      </c>
      <c r="BS812" s="349"/>
    </row>
    <row r="813" spans="1:71" s="292" customFormat="1" ht="15" hidden="1" outlineLevel="1">
      <c r="A813" s="293" t="s">
        <v>304</v>
      </c>
      <c r="B813" s="601"/>
      <c r="C813" s="968">
        <v>1</v>
      </c>
      <c r="D813" s="968">
        <v>1</v>
      </c>
      <c r="E813" s="969">
        <v>1</v>
      </c>
      <c r="F813" s="969">
        <v>1</v>
      </c>
      <c r="G813" s="969">
        <v>1</v>
      </c>
      <c r="H813" s="969">
        <v>1</v>
      </c>
      <c r="I813" s="969">
        <v>1</v>
      </c>
      <c r="J813" s="969">
        <v>1</v>
      </c>
      <c r="K813" s="969">
        <v>1</v>
      </c>
      <c r="L813" s="969">
        <v>1</v>
      </c>
      <c r="M813" s="969">
        <v>1</v>
      </c>
      <c r="N813" s="969">
        <v>1</v>
      </c>
      <c r="O813" s="969">
        <v>1</v>
      </c>
      <c r="P813" s="969">
        <v>1</v>
      </c>
      <c r="Q813" s="969">
        <v>1</v>
      </c>
      <c r="R813" s="969">
        <v>1</v>
      </c>
      <c r="S813" s="969">
        <v>1</v>
      </c>
      <c r="T813" s="969">
        <v>1</v>
      </c>
      <c r="U813" s="969">
        <v>1</v>
      </c>
      <c r="V813" s="969">
        <v>1</v>
      </c>
      <c r="W813" s="969">
        <v>1</v>
      </c>
      <c r="X813" s="969">
        <v>1</v>
      </c>
      <c r="Y813" s="969">
        <v>1</v>
      </c>
      <c r="Z813" s="969">
        <v>1</v>
      </c>
      <c r="AA813" s="969">
        <v>1</v>
      </c>
      <c r="AB813" s="969">
        <v>1</v>
      </c>
      <c r="AC813" s="969">
        <v>1</v>
      </c>
      <c r="AD813" s="969">
        <v>1</v>
      </c>
      <c r="AE813" s="969">
        <v>1</v>
      </c>
      <c r="AF813" s="969">
        <v>1</v>
      </c>
      <c r="AG813" s="969">
        <v>1</v>
      </c>
      <c r="AH813" s="969">
        <v>1</v>
      </c>
      <c r="AI813" s="969">
        <v>1</v>
      </c>
      <c r="AJ813" s="969">
        <v>1</v>
      </c>
      <c r="AK813" s="969">
        <v>1</v>
      </c>
      <c r="AL813" s="969">
        <v>1</v>
      </c>
      <c r="AM813" s="969">
        <v>1</v>
      </c>
      <c r="AN813" s="969">
        <v>1</v>
      </c>
      <c r="AO813" s="969">
        <v>1</v>
      </c>
      <c r="AP813" s="969">
        <v>1</v>
      </c>
      <c r="AQ813" s="969">
        <v>1</v>
      </c>
      <c r="AR813" s="969">
        <v>1</v>
      </c>
      <c r="AS813" s="969">
        <v>1</v>
      </c>
      <c r="AT813" s="969">
        <v>1</v>
      </c>
      <c r="AU813" s="969">
        <v>1</v>
      </c>
      <c r="AV813" s="969">
        <v>1</v>
      </c>
      <c r="AW813" s="969">
        <v>1</v>
      </c>
      <c r="AX813" s="969">
        <v>1</v>
      </c>
      <c r="AY813" s="969">
        <v>1</v>
      </c>
      <c r="AZ813" s="969">
        <v>1</v>
      </c>
      <c r="BA813" s="969">
        <v>1</v>
      </c>
      <c r="BB813" s="969">
        <v>1</v>
      </c>
      <c r="BC813" s="969">
        <v>1</v>
      </c>
      <c r="BD813" s="969">
        <v>1</v>
      </c>
      <c r="BE813" s="969">
        <v>1</v>
      </c>
      <c r="BF813" s="969">
        <v>1</v>
      </c>
      <c r="BG813" s="969">
        <v>1</v>
      </c>
      <c r="BH813" s="970">
        <v>1</v>
      </c>
      <c r="BI813" s="601">
        <f>MO.MRFX.Hardcoded</f>
        <v>1</v>
      </c>
      <c r="BJ813" s="601">
        <f t="shared" si="1494" ref="BJ813">MO.MRFX.Hardcoded</f>
        <v>1</v>
      </c>
      <c r="BK813" s="601">
        <f t="shared" si="1495" ref="BK813:BR813">MO.MRFX.Hardcoded</f>
        <v>1</v>
      </c>
      <c r="BL813" s="601">
        <f t="shared" si="1495"/>
        <v>1</v>
      </c>
      <c r="BM813" s="601">
        <f t="shared" si="1495"/>
        <v>1</v>
      </c>
      <c r="BN813" s="601">
        <f t="shared" si="1495"/>
        <v>1</v>
      </c>
      <c r="BO813" s="601">
        <f t="shared" si="1495"/>
        <v>1</v>
      </c>
      <c r="BP813" s="601">
        <f t="shared" si="1495"/>
        <v>1</v>
      </c>
      <c r="BQ813" s="601">
        <f t="shared" si="1495"/>
        <v>1</v>
      </c>
      <c r="BR813" s="603">
        <f t="shared" si="1495"/>
        <v>1</v>
      </c>
      <c r="BS813" s="349"/>
    </row>
    <row r="814" spans="1:71" s="292" customFormat="1" ht="15" hidden="1" outlineLevel="1">
      <c r="A814" s="293" t="s">
        <v>7</v>
      </c>
      <c r="B814" s="601"/>
      <c r="C814" s="600"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D814" s="600"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E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F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G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H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I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J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K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L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M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N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O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P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Q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R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S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T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U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V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W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X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Y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Z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A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B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C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D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E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F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G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H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I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J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K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L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M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N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O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P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Q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R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S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T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U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V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W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X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Y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Z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A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B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C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D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E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F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G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H814" s="60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I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J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K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L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M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N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O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P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Q814" s="60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R814" s="603"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BS814" s="349"/>
    </row>
    <row r="815" spans="1:71" s="292" customFormat="1" ht="15" hidden="1" outlineLevel="1">
      <c r="A815" s="293" t="s">
        <v>305</v>
      </c>
      <c r="B815" s="601"/>
      <c r="C815" s="600" t="str">
        <f ca="1">IFERROR(IF(INDEX(MO_Common_QEndDate,0,COLUMN())&gt;TODAY(),CIQ("$"&amp;HP.TradeCurrency&amp;MO.ReportCurrency,"IQ_LASTSALEPRICE"),CIQAVG("$"&amp;HP.TradeCurrency&amp;MO.ReportCurrency,"IQ_LASTSALEPRICE",INDEX(MO_SNA_FPStartDate,0,COLUMN()),INDEX(MO_Common_QEndDate,0,COLUMN()))),"N/A")</f>
        <v>N/A</v>
      </c>
      <c r="D815" s="600" t="str">
        <f ca="1">IFERROR(IF(INDEX(MO_Common_QEndDate,0,COLUMN())&gt;TODAY(),CIQ("$"&amp;HP.TradeCurrency&amp;MO.ReportCurrency,"IQ_LASTSALEPRICE"),CIQAVG("$"&amp;HP.TradeCurrency&amp;MO.ReportCurrency,"IQ_LASTSALEPRICE",INDEX(MO_SNA_FPStartDate,0,COLUMN()),INDEX(MO_Common_QEndDate,0,COLUMN()))),"N/A")</f>
        <v>N/A</v>
      </c>
      <c r="E815" s="601" t="str">
        <f ca="1">IFERROR(IF(INDEX(MO_Common_QEndDate,0,COLUMN())&gt;TODAY(),CIQ("$"&amp;HP.TradeCurrency&amp;MO.ReportCurrency,"IQ_LASTSALEPRICE"),CIQAVG("$"&amp;HP.TradeCurrency&amp;MO.ReportCurrency,"IQ_LASTSALEPRICE",INDEX(MO_SNA_FPStartDate,0,COLUMN()),INDEX(MO_Common_QEndDate,0,COLUMN()))),"N/A")</f>
        <v>N/A</v>
      </c>
      <c r="F815" s="601" t="str">
        <f ca="1">IFERROR(IF(INDEX(MO_Common_QEndDate,0,COLUMN())&gt;TODAY(),CIQ("$"&amp;HP.TradeCurrency&amp;MO.ReportCurrency,"IQ_LASTSALEPRICE"),CIQAVG("$"&amp;HP.TradeCurrency&amp;MO.ReportCurrency,"IQ_LASTSALEPRICE",INDEX(MO_SNA_FPStartDate,0,COLUMN()),INDEX(MO_Common_QEndDate,0,COLUMN()))),"N/A")</f>
        <v>N/A</v>
      </c>
      <c r="G815" s="601" t="str">
        <f ca="1">IFERROR(IF(INDEX(MO_Common_QEndDate,0,COLUMN())&gt;TODAY(),CIQ("$"&amp;HP.TradeCurrency&amp;MO.ReportCurrency,"IQ_LASTSALEPRICE"),CIQAVG("$"&amp;HP.TradeCurrency&amp;MO.ReportCurrency,"IQ_LASTSALEPRICE",INDEX(MO_SNA_FPStartDate,0,COLUMN()),INDEX(MO_Common_QEndDate,0,COLUMN()))),"N/A")</f>
        <v>N/A</v>
      </c>
      <c r="H815" s="601" t="str">
        <f ca="1">IFERROR(IF(INDEX(MO_Common_QEndDate,0,COLUMN())&gt;TODAY(),CIQ("$"&amp;HP.TradeCurrency&amp;MO.ReportCurrency,"IQ_LASTSALEPRICE"),CIQAVG("$"&amp;HP.TradeCurrency&amp;MO.ReportCurrency,"IQ_LASTSALEPRICE",INDEX(MO_SNA_FPStartDate,0,COLUMN()),INDEX(MO_Common_QEndDate,0,COLUMN()))),"N/A")</f>
        <v>N/A</v>
      </c>
      <c r="I815" s="601" t="str">
        <f ca="1">IFERROR(IF(INDEX(MO_Common_QEndDate,0,COLUMN())&gt;TODAY(),CIQ("$"&amp;HP.TradeCurrency&amp;MO.ReportCurrency,"IQ_LASTSALEPRICE"),CIQAVG("$"&amp;HP.TradeCurrency&amp;MO.ReportCurrency,"IQ_LASTSALEPRICE",INDEX(MO_SNA_FPStartDate,0,COLUMN()),INDEX(MO_Common_QEndDate,0,COLUMN()))),"N/A")</f>
        <v>N/A</v>
      </c>
      <c r="J815" s="601" t="str">
        <f ca="1">IFERROR(IF(INDEX(MO_Common_QEndDate,0,COLUMN())&gt;TODAY(),CIQ("$"&amp;HP.TradeCurrency&amp;MO.ReportCurrency,"IQ_LASTSALEPRICE"),CIQAVG("$"&amp;HP.TradeCurrency&amp;MO.ReportCurrency,"IQ_LASTSALEPRICE",INDEX(MO_SNA_FPStartDate,0,COLUMN()),INDEX(MO_Common_QEndDate,0,COLUMN()))),"N/A")</f>
        <v>N/A</v>
      </c>
      <c r="K815" s="601" t="str">
        <f ca="1">IFERROR(IF(INDEX(MO_Common_QEndDate,0,COLUMN())&gt;TODAY(),CIQ("$"&amp;HP.TradeCurrency&amp;MO.ReportCurrency,"IQ_LASTSALEPRICE"),CIQAVG("$"&amp;HP.TradeCurrency&amp;MO.ReportCurrency,"IQ_LASTSALEPRICE",INDEX(MO_SNA_FPStartDate,0,COLUMN()),INDEX(MO_Common_QEndDate,0,COLUMN()))),"N/A")</f>
        <v>N/A</v>
      </c>
      <c r="L815" s="601" t="str">
        <f ca="1">IFERROR(IF(INDEX(MO_Common_QEndDate,0,COLUMN())&gt;TODAY(),CIQ("$"&amp;HP.TradeCurrency&amp;MO.ReportCurrency,"IQ_LASTSALEPRICE"),CIQAVG("$"&amp;HP.TradeCurrency&amp;MO.ReportCurrency,"IQ_LASTSALEPRICE",INDEX(MO_SNA_FPStartDate,0,COLUMN()),INDEX(MO_Common_QEndDate,0,COLUMN()))),"N/A")</f>
        <v>N/A</v>
      </c>
      <c r="M815" s="601" t="str">
        <f ca="1">IFERROR(IF(INDEX(MO_Common_QEndDate,0,COLUMN())&gt;TODAY(),CIQ("$"&amp;HP.TradeCurrency&amp;MO.ReportCurrency,"IQ_LASTSALEPRICE"),CIQAVG("$"&amp;HP.TradeCurrency&amp;MO.ReportCurrency,"IQ_LASTSALEPRICE",INDEX(MO_SNA_FPStartDate,0,COLUMN()),INDEX(MO_Common_QEndDate,0,COLUMN()))),"N/A")</f>
        <v>N/A</v>
      </c>
      <c r="N815" s="601" t="str">
        <f ca="1">IFERROR(IF(INDEX(MO_Common_QEndDate,0,COLUMN())&gt;TODAY(),CIQ("$"&amp;HP.TradeCurrency&amp;MO.ReportCurrency,"IQ_LASTSALEPRICE"),CIQAVG("$"&amp;HP.TradeCurrency&amp;MO.ReportCurrency,"IQ_LASTSALEPRICE",INDEX(MO_SNA_FPStartDate,0,COLUMN()),INDEX(MO_Common_QEndDate,0,COLUMN()))),"N/A")</f>
        <v>N/A</v>
      </c>
      <c r="O815" s="601" t="str">
        <f ca="1">IFERROR(IF(INDEX(MO_Common_QEndDate,0,COLUMN())&gt;TODAY(),CIQ("$"&amp;HP.TradeCurrency&amp;MO.ReportCurrency,"IQ_LASTSALEPRICE"),CIQAVG("$"&amp;HP.TradeCurrency&amp;MO.ReportCurrency,"IQ_LASTSALEPRICE",INDEX(MO_SNA_FPStartDate,0,COLUMN()),INDEX(MO_Common_QEndDate,0,COLUMN()))),"N/A")</f>
        <v>N/A</v>
      </c>
      <c r="P815" s="601" t="str">
        <f ca="1">IFERROR(IF(INDEX(MO_Common_QEndDate,0,COLUMN())&gt;TODAY(),CIQ("$"&amp;HP.TradeCurrency&amp;MO.ReportCurrency,"IQ_LASTSALEPRICE"),CIQAVG("$"&amp;HP.TradeCurrency&amp;MO.ReportCurrency,"IQ_LASTSALEPRICE",INDEX(MO_SNA_FPStartDate,0,COLUMN()),INDEX(MO_Common_QEndDate,0,COLUMN()))),"N/A")</f>
        <v>N/A</v>
      </c>
      <c r="Q815" s="601" t="str">
        <f ca="1">IFERROR(IF(INDEX(MO_Common_QEndDate,0,COLUMN())&gt;TODAY(),CIQ("$"&amp;HP.TradeCurrency&amp;MO.ReportCurrency,"IQ_LASTSALEPRICE"),CIQAVG("$"&amp;HP.TradeCurrency&amp;MO.ReportCurrency,"IQ_LASTSALEPRICE",INDEX(MO_SNA_FPStartDate,0,COLUMN()),INDEX(MO_Common_QEndDate,0,COLUMN()))),"N/A")</f>
        <v>N/A</v>
      </c>
      <c r="R815" s="601" t="str">
        <f ca="1">IFERROR(IF(INDEX(MO_Common_QEndDate,0,COLUMN())&gt;TODAY(),CIQ("$"&amp;HP.TradeCurrency&amp;MO.ReportCurrency,"IQ_LASTSALEPRICE"),CIQAVG("$"&amp;HP.TradeCurrency&amp;MO.ReportCurrency,"IQ_LASTSALEPRICE",INDEX(MO_SNA_FPStartDate,0,COLUMN()),INDEX(MO_Common_QEndDate,0,COLUMN()))),"N/A")</f>
        <v>N/A</v>
      </c>
      <c r="S815" s="601" t="str">
        <f ca="1">IFERROR(IF(INDEX(MO_Common_QEndDate,0,COLUMN())&gt;TODAY(),CIQ("$"&amp;HP.TradeCurrency&amp;MO.ReportCurrency,"IQ_LASTSALEPRICE"),CIQAVG("$"&amp;HP.TradeCurrency&amp;MO.ReportCurrency,"IQ_LASTSALEPRICE",INDEX(MO_SNA_FPStartDate,0,COLUMN()),INDEX(MO_Common_QEndDate,0,COLUMN()))),"N/A")</f>
        <v>N/A</v>
      </c>
      <c r="T815" s="601" t="str">
        <f ca="1">IFERROR(IF(INDEX(MO_Common_QEndDate,0,COLUMN())&gt;TODAY(),CIQ("$"&amp;HP.TradeCurrency&amp;MO.ReportCurrency,"IQ_LASTSALEPRICE"),CIQAVG("$"&amp;HP.TradeCurrency&amp;MO.ReportCurrency,"IQ_LASTSALEPRICE",INDEX(MO_SNA_FPStartDate,0,COLUMN()),INDEX(MO_Common_QEndDate,0,COLUMN()))),"N/A")</f>
        <v>N/A</v>
      </c>
      <c r="U815" s="601" t="str">
        <f ca="1">IFERROR(IF(INDEX(MO_Common_QEndDate,0,COLUMN())&gt;TODAY(),CIQ("$"&amp;HP.TradeCurrency&amp;MO.ReportCurrency,"IQ_LASTSALEPRICE"),CIQAVG("$"&amp;HP.TradeCurrency&amp;MO.ReportCurrency,"IQ_LASTSALEPRICE",INDEX(MO_SNA_FPStartDate,0,COLUMN()),INDEX(MO_Common_QEndDate,0,COLUMN()))),"N/A")</f>
        <v>N/A</v>
      </c>
      <c r="V815" s="601" t="str">
        <f ca="1">IFERROR(IF(INDEX(MO_Common_QEndDate,0,COLUMN())&gt;TODAY(),CIQ("$"&amp;HP.TradeCurrency&amp;MO.ReportCurrency,"IQ_LASTSALEPRICE"),CIQAVG("$"&amp;HP.TradeCurrency&amp;MO.ReportCurrency,"IQ_LASTSALEPRICE",INDEX(MO_SNA_FPStartDate,0,COLUMN()),INDEX(MO_Common_QEndDate,0,COLUMN()))),"N/A")</f>
        <v>N/A</v>
      </c>
      <c r="W815" s="601" t="str">
        <f ca="1">IFERROR(IF(INDEX(MO_Common_QEndDate,0,COLUMN())&gt;TODAY(),CIQ("$"&amp;HP.TradeCurrency&amp;MO.ReportCurrency,"IQ_LASTSALEPRICE"),CIQAVG("$"&amp;HP.TradeCurrency&amp;MO.ReportCurrency,"IQ_LASTSALEPRICE",INDEX(MO_SNA_FPStartDate,0,COLUMN()),INDEX(MO_Common_QEndDate,0,COLUMN()))),"N/A")</f>
        <v>N/A</v>
      </c>
      <c r="X815" s="601" t="str">
        <f ca="1">IFERROR(IF(INDEX(MO_Common_QEndDate,0,COLUMN())&gt;TODAY(),CIQ("$"&amp;HP.TradeCurrency&amp;MO.ReportCurrency,"IQ_LASTSALEPRICE"),CIQAVG("$"&amp;HP.TradeCurrency&amp;MO.ReportCurrency,"IQ_LASTSALEPRICE",INDEX(MO_SNA_FPStartDate,0,COLUMN()),INDEX(MO_Common_QEndDate,0,COLUMN()))),"N/A")</f>
        <v>N/A</v>
      </c>
      <c r="Y815" s="601" t="str">
        <f ca="1">IFERROR(IF(INDEX(MO_Common_QEndDate,0,COLUMN())&gt;TODAY(),CIQ("$"&amp;HP.TradeCurrency&amp;MO.ReportCurrency,"IQ_LASTSALEPRICE"),CIQAVG("$"&amp;HP.TradeCurrency&amp;MO.ReportCurrency,"IQ_LASTSALEPRICE",INDEX(MO_SNA_FPStartDate,0,COLUMN()),INDEX(MO_Common_QEndDate,0,COLUMN()))),"N/A")</f>
        <v>N/A</v>
      </c>
      <c r="Z815" s="601" t="str">
        <f ca="1">IFERROR(IF(INDEX(MO_Common_QEndDate,0,COLUMN())&gt;TODAY(),CIQ("$"&amp;HP.TradeCurrency&amp;MO.ReportCurrency,"IQ_LASTSALEPRICE"),CIQAVG("$"&amp;HP.TradeCurrency&amp;MO.ReportCurrency,"IQ_LASTSALEPRICE",INDEX(MO_SNA_FPStartDate,0,COLUMN()),INDEX(MO_Common_QEndDate,0,COLUMN()))),"N/A")</f>
        <v>N/A</v>
      </c>
      <c r="AA815" s="601" t="str">
        <f ca="1">IFERROR(IF(INDEX(MO_Common_QEndDate,0,COLUMN())&gt;TODAY(),CIQ("$"&amp;HP.TradeCurrency&amp;MO.ReportCurrency,"IQ_LASTSALEPRICE"),CIQAVG("$"&amp;HP.TradeCurrency&amp;MO.ReportCurrency,"IQ_LASTSALEPRICE",INDEX(MO_SNA_FPStartDate,0,COLUMN()),INDEX(MO_Common_QEndDate,0,COLUMN()))),"N/A")</f>
        <v>N/A</v>
      </c>
      <c r="AB815" s="601" t="str">
        <f ca="1">IFERROR(IF(INDEX(MO_Common_QEndDate,0,COLUMN())&gt;TODAY(),CIQ("$"&amp;HP.TradeCurrency&amp;MO.ReportCurrency,"IQ_LASTSALEPRICE"),CIQAVG("$"&amp;HP.TradeCurrency&amp;MO.ReportCurrency,"IQ_LASTSALEPRICE",INDEX(MO_SNA_FPStartDate,0,COLUMN()),INDEX(MO_Common_QEndDate,0,COLUMN()))),"N/A")</f>
        <v>N/A</v>
      </c>
      <c r="AC815" s="601" t="str">
        <f ca="1">IFERROR(IF(INDEX(MO_Common_QEndDate,0,COLUMN())&gt;TODAY(),CIQ("$"&amp;HP.TradeCurrency&amp;MO.ReportCurrency,"IQ_LASTSALEPRICE"),CIQAVG("$"&amp;HP.TradeCurrency&amp;MO.ReportCurrency,"IQ_LASTSALEPRICE",INDEX(MO_SNA_FPStartDate,0,COLUMN()),INDEX(MO_Common_QEndDate,0,COLUMN()))),"N/A")</f>
        <v>N/A</v>
      </c>
      <c r="AD815" s="601" t="str">
        <f ca="1">IFERROR(IF(INDEX(MO_Common_QEndDate,0,COLUMN())&gt;TODAY(),CIQ("$"&amp;HP.TradeCurrency&amp;MO.ReportCurrency,"IQ_LASTSALEPRICE"),CIQAVG("$"&amp;HP.TradeCurrency&amp;MO.ReportCurrency,"IQ_LASTSALEPRICE",INDEX(MO_SNA_FPStartDate,0,COLUMN()),INDEX(MO_Common_QEndDate,0,COLUMN()))),"N/A")</f>
        <v>N/A</v>
      </c>
      <c r="AE815" s="601" t="str">
        <f ca="1">IFERROR(IF(INDEX(MO_Common_QEndDate,0,COLUMN())&gt;TODAY(),CIQ("$"&amp;HP.TradeCurrency&amp;MO.ReportCurrency,"IQ_LASTSALEPRICE"),CIQAVG("$"&amp;HP.TradeCurrency&amp;MO.ReportCurrency,"IQ_LASTSALEPRICE",INDEX(MO_SNA_FPStartDate,0,COLUMN()),INDEX(MO_Common_QEndDate,0,COLUMN()))),"N/A")</f>
        <v>N/A</v>
      </c>
      <c r="AF815" s="601" t="str">
        <f ca="1">IFERROR(IF(INDEX(MO_Common_QEndDate,0,COLUMN())&gt;TODAY(),CIQ("$"&amp;HP.TradeCurrency&amp;MO.ReportCurrency,"IQ_LASTSALEPRICE"),CIQAVG("$"&amp;HP.TradeCurrency&amp;MO.ReportCurrency,"IQ_LASTSALEPRICE",INDEX(MO_SNA_FPStartDate,0,COLUMN()),INDEX(MO_Common_QEndDate,0,COLUMN()))),"N/A")</f>
        <v>N/A</v>
      </c>
      <c r="AG815" s="601" t="str">
        <f ca="1">IFERROR(IF(INDEX(MO_Common_QEndDate,0,COLUMN())&gt;TODAY(),CIQ("$"&amp;HP.TradeCurrency&amp;MO.ReportCurrency,"IQ_LASTSALEPRICE"),CIQAVG("$"&amp;HP.TradeCurrency&amp;MO.ReportCurrency,"IQ_LASTSALEPRICE",INDEX(MO_SNA_FPStartDate,0,COLUMN()),INDEX(MO_Common_QEndDate,0,COLUMN()))),"N/A")</f>
        <v>N/A</v>
      </c>
      <c r="AH815" s="601" t="str">
        <f ca="1">IFERROR(IF(INDEX(MO_Common_QEndDate,0,COLUMN())&gt;TODAY(),CIQ("$"&amp;HP.TradeCurrency&amp;MO.ReportCurrency,"IQ_LASTSALEPRICE"),CIQAVG("$"&amp;HP.TradeCurrency&amp;MO.ReportCurrency,"IQ_LASTSALEPRICE",INDEX(MO_SNA_FPStartDate,0,COLUMN()),INDEX(MO_Common_QEndDate,0,COLUMN()))),"N/A")</f>
        <v>N/A</v>
      </c>
      <c r="AI815" s="601" t="str">
        <f ca="1">IFERROR(IF(INDEX(MO_Common_QEndDate,0,COLUMN())&gt;TODAY(),CIQ("$"&amp;HP.TradeCurrency&amp;MO.ReportCurrency,"IQ_LASTSALEPRICE"),CIQAVG("$"&amp;HP.TradeCurrency&amp;MO.ReportCurrency,"IQ_LASTSALEPRICE",INDEX(MO_SNA_FPStartDate,0,COLUMN()),INDEX(MO_Common_QEndDate,0,COLUMN()))),"N/A")</f>
        <v>N/A</v>
      </c>
      <c r="AJ815" s="601" t="str">
        <f ca="1">IFERROR(IF(INDEX(MO_Common_QEndDate,0,COLUMN())&gt;TODAY(),CIQ("$"&amp;HP.TradeCurrency&amp;MO.ReportCurrency,"IQ_LASTSALEPRICE"),CIQAVG("$"&amp;HP.TradeCurrency&amp;MO.ReportCurrency,"IQ_LASTSALEPRICE",INDEX(MO_SNA_FPStartDate,0,COLUMN()),INDEX(MO_Common_QEndDate,0,COLUMN()))),"N/A")</f>
        <v>N/A</v>
      </c>
      <c r="AK815" s="601" t="str">
        <f ca="1">IFERROR(IF(INDEX(MO_Common_QEndDate,0,COLUMN())&gt;TODAY(),CIQ("$"&amp;HP.TradeCurrency&amp;MO.ReportCurrency,"IQ_LASTSALEPRICE"),CIQAVG("$"&amp;HP.TradeCurrency&amp;MO.ReportCurrency,"IQ_LASTSALEPRICE",INDEX(MO_SNA_FPStartDate,0,COLUMN()),INDEX(MO_Common_QEndDate,0,COLUMN()))),"N/A")</f>
        <v>N/A</v>
      </c>
      <c r="AL815" s="601" t="str">
        <f ca="1">IFERROR(IF(INDEX(MO_Common_QEndDate,0,COLUMN())&gt;TODAY(),CIQ("$"&amp;HP.TradeCurrency&amp;MO.ReportCurrency,"IQ_LASTSALEPRICE"),CIQAVG("$"&amp;HP.TradeCurrency&amp;MO.ReportCurrency,"IQ_LASTSALEPRICE",INDEX(MO_SNA_FPStartDate,0,COLUMN()),INDEX(MO_Common_QEndDate,0,COLUMN()))),"N/A")</f>
        <v>N/A</v>
      </c>
      <c r="AM815" s="601" t="str">
        <f ca="1">IFERROR(IF(INDEX(MO_Common_QEndDate,0,COLUMN())&gt;TODAY(),CIQ("$"&amp;HP.TradeCurrency&amp;MO.ReportCurrency,"IQ_LASTSALEPRICE"),CIQAVG("$"&amp;HP.TradeCurrency&amp;MO.ReportCurrency,"IQ_LASTSALEPRICE",INDEX(MO_SNA_FPStartDate,0,COLUMN()),INDEX(MO_Common_QEndDate,0,COLUMN()))),"N/A")</f>
        <v>N/A</v>
      </c>
      <c r="AN815" s="601" t="str">
        <f ca="1">IFERROR(IF(INDEX(MO_Common_QEndDate,0,COLUMN())&gt;TODAY(),CIQ("$"&amp;HP.TradeCurrency&amp;MO.ReportCurrency,"IQ_LASTSALEPRICE"),CIQAVG("$"&amp;HP.TradeCurrency&amp;MO.ReportCurrency,"IQ_LASTSALEPRICE",INDEX(MO_SNA_FPStartDate,0,COLUMN()),INDEX(MO_Common_QEndDate,0,COLUMN()))),"N/A")</f>
        <v>N/A</v>
      </c>
      <c r="AO815" s="601" t="str">
        <f ca="1">IFERROR(IF(INDEX(MO_Common_QEndDate,0,COLUMN())&gt;TODAY(),CIQ("$"&amp;HP.TradeCurrency&amp;MO.ReportCurrency,"IQ_LASTSALEPRICE"),CIQAVG("$"&amp;HP.TradeCurrency&amp;MO.ReportCurrency,"IQ_LASTSALEPRICE",INDEX(MO_SNA_FPStartDate,0,COLUMN()),INDEX(MO_Common_QEndDate,0,COLUMN()))),"N/A")</f>
        <v>N/A</v>
      </c>
      <c r="AP815" s="601" t="str">
        <f ca="1">IFERROR(IF(INDEX(MO_Common_QEndDate,0,COLUMN())&gt;TODAY(),CIQ("$"&amp;HP.TradeCurrency&amp;MO.ReportCurrency,"IQ_LASTSALEPRICE"),CIQAVG("$"&amp;HP.TradeCurrency&amp;MO.ReportCurrency,"IQ_LASTSALEPRICE",INDEX(MO_SNA_FPStartDate,0,COLUMN()),INDEX(MO_Common_QEndDate,0,COLUMN()))),"N/A")</f>
        <v>N/A</v>
      </c>
      <c r="AQ815" s="601" t="str">
        <f ca="1">IFERROR(IF(INDEX(MO_Common_QEndDate,0,COLUMN())&gt;TODAY(),CIQ("$"&amp;HP.TradeCurrency&amp;MO.ReportCurrency,"IQ_LASTSALEPRICE"),CIQAVG("$"&amp;HP.TradeCurrency&amp;MO.ReportCurrency,"IQ_LASTSALEPRICE",INDEX(MO_SNA_FPStartDate,0,COLUMN()),INDEX(MO_Common_QEndDate,0,COLUMN()))),"N/A")</f>
        <v>N/A</v>
      </c>
      <c r="AR815" s="601" t="str">
        <f ca="1">IFERROR(IF(INDEX(MO_Common_QEndDate,0,COLUMN())&gt;TODAY(),CIQ("$"&amp;HP.TradeCurrency&amp;MO.ReportCurrency,"IQ_LASTSALEPRICE"),CIQAVG("$"&amp;HP.TradeCurrency&amp;MO.ReportCurrency,"IQ_LASTSALEPRICE",INDEX(MO_SNA_FPStartDate,0,COLUMN()),INDEX(MO_Common_QEndDate,0,COLUMN()))),"N/A")</f>
        <v>N/A</v>
      </c>
      <c r="AS815" s="601" t="str">
        <f ca="1">IFERROR(IF(INDEX(MO_Common_QEndDate,0,COLUMN())&gt;TODAY(),CIQ("$"&amp;HP.TradeCurrency&amp;MO.ReportCurrency,"IQ_LASTSALEPRICE"),CIQAVG("$"&amp;HP.TradeCurrency&amp;MO.ReportCurrency,"IQ_LASTSALEPRICE",INDEX(MO_SNA_FPStartDate,0,COLUMN()),INDEX(MO_Common_QEndDate,0,COLUMN()))),"N/A")</f>
        <v>N/A</v>
      </c>
      <c r="AT815" s="601" t="str">
        <f ca="1">IFERROR(IF(INDEX(MO_Common_QEndDate,0,COLUMN())&gt;TODAY(),CIQ("$"&amp;HP.TradeCurrency&amp;MO.ReportCurrency,"IQ_LASTSALEPRICE"),CIQAVG("$"&amp;HP.TradeCurrency&amp;MO.ReportCurrency,"IQ_LASTSALEPRICE",INDEX(MO_SNA_FPStartDate,0,COLUMN()),INDEX(MO_Common_QEndDate,0,COLUMN()))),"N/A")</f>
        <v>N/A</v>
      </c>
      <c r="AU815" s="601" t="str">
        <f ca="1">IFERROR(IF(INDEX(MO_Common_QEndDate,0,COLUMN())&gt;TODAY(),CIQ("$"&amp;HP.TradeCurrency&amp;MO.ReportCurrency,"IQ_LASTSALEPRICE"),CIQAVG("$"&amp;HP.TradeCurrency&amp;MO.ReportCurrency,"IQ_LASTSALEPRICE",INDEX(MO_SNA_FPStartDate,0,COLUMN()),INDEX(MO_Common_QEndDate,0,COLUMN()))),"N/A")</f>
        <v>N/A</v>
      </c>
      <c r="AV815" s="601" t="str">
        <f ca="1">IFERROR(IF(INDEX(MO_Common_QEndDate,0,COLUMN())&gt;TODAY(),CIQ("$"&amp;HP.TradeCurrency&amp;MO.ReportCurrency,"IQ_LASTSALEPRICE"),CIQAVG("$"&amp;HP.TradeCurrency&amp;MO.ReportCurrency,"IQ_LASTSALEPRICE",INDEX(MO_SNA_FPStartDate,0,COLUMN()),INDEX(MO_Common_QEndDate,0,COLUMN()))),"N/A")</f>
        <v>N/A</v>
      </c>
      <c r="AW815" s="601" t="str">
        <f ca="1">IFERROR(IF(INDEX(MO_Common_QEndDate,0,COLUMN())&gt;TODAY(),CIQ("$"&amp;HP.TradeCurrency&amp;MO.ReportCurrency,"IQ_LASTSALEPRICE"),CIQAVG("$"&amp;HP.TradeCurrency&amp;MO.ReportCurrency,"IQ_LASTSALEPRICE",INDEX(MO_SNA_FPStartDate,0,COLUMN()),INDEX(MO_Common_QEndDate,0,COLUMN()))),"N/A")</f>
        <v>N/A</v>
      </c>
      <c r="AX815" s="601" t="str">
        <f ca="1">IFERROR(IF(INDEX(MO_Common_QEndDate,0,COLUMN())&gt;TODAY(),CIQ("$"&amp;HP.TradeCurrency&amp;MO.ReportCurrency,"IQ_LASTSALEPRICE"),CIQAVG("$"&amp;HP.TradeCurrency&amp;MO.ReportCurrency,"IQ_LASTSALEPRICE",INDEX(MO_SNA_FPStartDate,0,COLUMN()),INDEX(MO_Common_QEndDate,0,COLUMN()))),"N/A")</f>
        <v>N/A</v>
      </c>
      <c r="AY815" s="601" t="str">
        <f ca="1">IFERROR(IF(INDEX(MO_Common_QEndDate,0,COLUMN())&gt;TODAY(),CIQ("$"&amp;HP.TradeCurrency&amp;MO.ReportCurrency,"IQ_LASTSALEPRICE"),CIQAVG("$"&amp;HP.TradeCurrency&amp;MO.ReportCurrency,"IQ_LASTSALEPRICE",INDEX(MO_SNA_FPStartDate,0,COLUMN()),INDEX(MO_Common_QEndDate,0,COLUMN()))),"N/A")</f>
        <v>N/A</v>
      </c>
      <c r="AZ815" s="601" t="str">
        <f ca="1">IFERROR(IF(INDEX(MO_Common_QEndDate,0,COLUMN())&gt;TODAY(),CIQ("$"&amp;HP.TradeCurrency&amp;MO.ReportCurrency,"IQ_LASTSALEPRICE"),CIQAVG("$"&amp;HP.TradeCurrency&amp;MO.ReportCurrency,"IQ_LASTSALEPRICE",INDEX(MO_SNA_FPStartDate,0,COLUMN()),INDEX(MO_Common_QEndDate,0,COLUMN()))),"N/A")</f>
        <v>N/A</v>
      </c>
      <c r="BA815" s="601" t="str">
        <f ca="1">IFERROR(IF(INDEX(MO_Common_QEndDate,0,COLUMN())&gt;TODAY(),CIQ("$"&amp;HP.TradeCurrency&amp;MO.ReportCurrency,"IQ_LASTSALEPRICE"),CIQAVG("$"&amp;HP.TradeCurrency&amp;MO.ReportCurrency,"IQ_LASTSALEPRICE",INDEX(MO_SNA_FPStartDate,0,COLUMN()),INDEX(MO_Common_QEndDate,0,COLUMN()))),"N/A")</f>
        <v>N/A</v>
      </c>
      <c r="BB815" s="601" t="str">
        <f ca="1">IFERROR(IF(INDEX(MO_Common_QEndDate,0,COLUMN())&gt;TODAY(),CIQ("$"&amp;HP.TradeCurrency&amp;MO.ReportCurrency,"IQ_LASTSALEPRICE"),CIQAVG("$"&amp;HP.TradeCurrency&amp;MO.ReportCurrency,"IQ_LASTSALEPRICE",INDEX(MO_SNA_FPStartDate,0,COLUMN()),INDEX(MO_Common_QEndDate,0,COLUMN()))),"N/A")</f>
        <v>N/A</v>
      </c>
      <c r="BC815" s="601" t="str">
        <f ca="1">IFERROR(IF(INDEX(MO_Common_QEndDate,0,COLUMN())&gt;TODAY(),CIQ("$"&amp;HP.TradeCurrency&amp;MO.ReportCurrency,"IQ_LASTSALEPRICE"),CIQAVG("$"&amp;HP.TradeCurrency&amp;MO.ReportCurrency,"IQ_LASTSALEPRICE",INDEX(MO_SNA_FPStartDate,0,COLUMN()),INDEX(MO_Common_QEndDate,0,COLUMN()))),"N/A")</f>
        <v>N/A</v>
      </c>
      <c r="BD815" s="601" t="str">
        <f ca="1">IFERROR(IF(INDEX(MO_Common_QEndDate,0,COLUMN())&gt;TODAY(),CIQ("$"&amp;HP.TradeCurrency&amp;MO.ReportCurrency,"IQ_LASTSALEPRICE"),CIQAVG("$"&amp;HP.TradeCurrency&amp;MO.ReportCurrency,"IQ_LASTSALEPRICE",INDEX(MO_SNA_FPStartDate,0,COLUMN()),INDEX(MO_Common_QEndDate,0,COLUMN()))),"N/A")</f>
        <v>N/A</v>
      </c>
      <c r="BE815" s="601" t="str">
        <f ca="1">IFERROR(IF(INDEX(MO_Common_QEndDate,0,COLUMN())&gt;TODAY(),CIQ("$"&amp;HP.TradeCurrency&amp;MO.ReportCurrency,"IQ_LASTSALEPRICE"),CIQAVG("$"&amp;HP.TradeCurrency&amp;MO.ReportCurrency,"IQ_LASTSALEPRICE",INDEX(MO_SNA_FPStartDate,0,COLUMN()),INDEX(MO_Common_QEndDate,0,COLUMN()))),"N/A")</f>
        <v>N/A</v>
      </c>
      <c r="BF815" s="601" t="str">
        <f ca="1">IFERROR(IF(INDEX(MO_Common_QEndDate,0,COLUMN())&gt;TODAY(),CIQ("$"&amp;HP.TradeCurrency&amp;MO.ReportCurrency,"IQ_LASTSALEPRICE"),CIQAVG("$"&amp;HP.TradeCurrency&amp;MO.ReportCurrency,"IQ_LASTSALEPRICE",INDEX(MO_SNA_FPStartDate,0,COLUMN()),INDEX(MO_Common_QEndDate,0,COLUMN()))),"N/A")</f>
        <v>N/A</v>
      </c>
      <c r="BG815" s="601" t="str">
        <f ca="1">IFERROR(IF(INDEX(MO_Common_QEndDate,0,COLUMN())&gt;TODAY(),CIQ("$"&amp;HP.TradeCurrency&amp;MO.ReportCurrency,"IQ_LASTSALEPRICE"),CIQAVG("$"&amp;HP.TradeCurrency&amp;MO.ReportCurrency,"IQ_LASTSALEPRICE",INDEX(MO_SNA_FPStartDate,0,COLUMN()),INDEX(MO_Common_QEndDate,0,COLUMN()))),"N/A")</f>
        <v>N/A</v>
      </c>
      <c r="BH815" s="602" t="str">
        <f ca="1">IFERROR(IF(INDEX(MO_Common_QEndDate,0,COLUMN())&gt;TODAY(),CIQ("$"&amp;HP.TradeCurrency&amp;MO.ReportCurrency,"IQ_LASTSALEPRICE"),CIQAVG("$"&amp;HP.TradeCurrency&amp;MO.ReportCurrency,"IQ_LASTSALEPRICE",INDEX(MO_SNA_FPStartDate,0,COLUMN()),INDEX(MO_Common_QEndDate,0,COLUMN()))),"N/A")</f>
        <v>N/A</v>
      </c>
      <c r="BI815" s="601" t="str">
        <f ca="1">IFERROR(IF(INDEX(MO_Common_QEndDate,0,COLUMN())&gt;TODAY(),CIQ("$"&amp;HP.TradeCurrency&amp;MO.ReportCurrency,"IQ_LASTSALEPRICE"),CIQAVG("$"&amp;HP.TradeCurrency&amp;MO.ReportCurrency,"IQ_LASTSALEPRICE",INDEX(MO_SNA_FPStartDate,0,COLUMN()),INDEX(MO_Common_QEndDate,0,COLUMN()))),"N/A")</f>
        <v>N/A</v>
      </c>
      <c r="BJ815" s="601" t="str">
        <f ca="1">IFERROR(IF(INDEX(MO_Common_QEndDate,0,COLUMN())&gt;TODAY(),CIQ("$"&amp;HP.TradeCurrency&amp;MO.ReportCurrency,"IQ_LASTSALEPRICE"),CIQAVG("$"&amp;HP.TradeCurrency&amp;MO.ReportCurrency,"IQ_LASTSALEPRICE",INDEX(MO_SNA_FPStartDate,0,COLUMN()),INDEX(MO_Common_QEndDate,0,COLUMN()))),"N/A")</f>
        <v>N/A</v>
      </c>
      <c r="BK815" s="601" t="str">
        <f ca="1">IFERROR(IF(INDEX(MO_Common_QEndDate,0,COLUMN())&gt;TODAY(),CIQ("$"&amp;HP.TradeCurrency&amp;MO.ReportCurrency,"IQ_LASTSALEPRICE"),CIQAVG("$"&amp;HP.TradeCurrency&amp;MO.ReportCurrency,"IQ_LASTSALEPRICE",INDEX(MO_SNA_FPStartDate,0,COLUMN()),INDEX(MO_Common_QEndDate,0,COLUMN()))),"N/A")</f>
        <v>N/A</v>
      </c>
      <c r="BL815" s="601" t="str">
        <f ca="1">IFERROR(IF(INDEX(MO_Common_QEndDate,0,COLUMN())&gt;TODAY(),CIQ("$"&amp;HP.TradeCurrency&amp;MO.ReportCurrency,"IQ_LASTSALEPRICE"),CIQAVG("$"&amp;HP.TradeCurrency&amp;MO.ReportCurrency,"IQ_LASTSALEPRICE",INDEX(MO_SNA_FPStartDate,0,COLUMN()),INDEX(MO_Common_QEndDate,0,COLUMN()))),"N/A")</f>
        <v>N/A</v>
      </c>
      <c r="BM815" s="601" t="str">
        <f ca="1">IFERROR(IF(INDEX(MO_Common_QEndDate,0,COLUMN())&gt;TODAY(),CIQ("$"&amp;HP.TradeCurrency&amp;MO.ReportCurrency,"IQ_LASTSALEPRICE"),CIQAVG("$"&amp;HP.TradeCurrency&amp;MO.ReportCurrency,"IQ_LASTSALEPRICE",INDEX(MO_SNA_FPStartDate,0,COLUMN()),INDEX(MO_Common_QEndDate,0,COLUMN()))),"N/A")</f>
        <v>N/A</v>
      </c>
      <c r="BN815" s="601" t="str">
        <f ca="1">IFERROR(IF(INDEX(MO_Common_QEndDate,0,COLUMN())&gt;TODAY(),CIQ("$"&amp;HP.TradeCurrency&amp;MO.ReportCurrency,"IQ_LASTSALEPRICE"),CIQAVG("$"&amp;HP.TradeCurrency&amp;MO.ReportCurrency,"IQ_LASTSALEPRICE",INDEX(MO_SNA_FPStartDate,0,COLUMN()),INDEX(MO_Common_QEndDate,0,COLUMN()))),"N/A")</f>
        <v>N/A</v>
      </c>
      <c r="BO815" s="601" t="str">
        <f ca="1">IFERROR(IF(INDEX(MO_Common_QEndDate,0,COLUMN())&gt;TODAY(),CIQ("$"&amp;HP.TradeCurrency&amp;MO.ReportCurrency,"IQ_LASTSALEPRICE"),CIQAVG("$"&amp;HP.TradeCurrency&amp;MO.ReportCurrency,"IQ_LASTSALEPRICE",INDEX(MO_SNA_FPStartDate,0,COLUMN()),INDEX(MO_Common_QEndDate,0,COLUMN()))),"N/A")</f>
        <v>N/A</v>
      </c>
      <c r="BP815" s="601" t="str">
        <f ca="1">IFERROR(IF(INDEX(MO_Common_QEndDate,0,COLUMN())&gt;TODAY(),CIQ("$"&amp;HP.TradeCurrency&amp;MO.ReportCurrency,"IQ_LASTSALEPRICE"),CIQAVG("$"&amp;HP.TradeCurrency&amp;MO.ReportCurrency,"IQ_LASTSALEPRICE",INDEX(MO_SNA_FPStartDate,0,COLUMN()),INDEX(MO_Common_QEndDate,0,COLUMN()))),"N/A")</f>
        <v>N/A</v>
      </c>
      <c r="BQ815" s="601" t="str">
        <f ca="1">IFERROR(IF(INDEX(MO_Common_QEndDate,0,COLUMN())&gt;TODAY(),CIQ("$"&amp;HP.TradeCurrency&amp;MO.ReportCurrency,"IQ_LASTSALEPRICE"),CIQAVG("$"&amp;HP.TradeCurrency&amp;MO.ReportCurrency,"IQ_LASTSALEPRICE",INDEX(MO_SNA_FPStartDate,0,COLUMN()),INDEX(MO_Common_QEndDate,0,COLUMN()))),"N/A")</f>
        <v>N/A</v>
      </c>
      <c r="BR815" s="603" t="str">
        <f ca="1">IFERROR(IF(INDEX(MO_Common_QEndDate,0,COLUMN())&gt;TODAY(),CIQ("$"&amp;HP.TradeCurrency&amp;MO.ReportCurrency,"IQ_LASTSALEPRICE"),CIQAVG("$"&amp;HP.TradeCurrency&amp;MO.ReportCurrency,"IQ_LASTSALEPRICE",INDEX(MO_SNA_FPStartDate,0,COLUMN()),INDEX(MO_Common_QEndDate,0,COLUMN()))),"N/A")</f>
        <v>N/A</v>
      </c>
      <c r="BS815" s="349"/>
    </row>
    <row r="816" spans="1:71" s="292" customFormat="1" ht="15" hidden="1" outlineLevel="1">
      <c r="A816" s="293" t="s">
        <v>306</v>
      </c>
      <c r="B816" s="601"/>
      <c r="C816" s="600" t="str">
        <f ca="1">IFERROR(IF(INDEX(MO_Common_QEndDate,0,COLUMN())&gt;TODAY(),FDS(MO.ReportCurrency&amp;HP.TradeCurrency,"FG_PRICE(NOW)"),FDS(MO.ReportCurrency&amp;HP.TradeCurrency,"P_PRICE_AVG("&amp;INDEX(MO_SNA_FPStartDate,0,COLUMN())&amp;","&amp;INDEX(MO_Common_QEndDate,0,COLUMN())&amp;",,,,0)")),"N/A")</f>
        <v>N/A</v>
      </c>
      <c r="D816" s="600" t="str">
        <f ca="1">IFERROR(IF(INDEX(MO_Common_QEndDate,0,COLUMN())&gt;TODAY(),FDS(MO.ReportCurrency&amp;HP.TradeCurrency,"FG_PRICE(NOW)"),FDS(MO.ReportCurrency&amp;HP.TradeCurrency,"P_PRICE_AVG("&amp;INDEX(MO_SNA_FPStartDate,0,COLUMN())&amp;","&amp;INDEX(MO_Common_QEndDate,0,COLUMN())&amp;",,,,0)")),"N/A")</f>
        <v>N/A</v>
      </c>
      <c r="E816" s="601" t="str">
        <f ca="1">IFERROR(IF(INDEX(MO_Common_QEndDate,0,COLUMN())&gt;TODAY(),FDS(MO.ReportCurrency&amp;HP.TradeCurrency,"FG_PRICE(NOW)"),FDS(MO.ReportCurrency&amp;HP.TradeCurrency,"P_PRICE_AVG("&amp;INDEX(MO_SNA_FPStartDate,0,COLUMN())&amp;","&amp;INDEX(MO_Common_QEndDate,0,COLUMN())&amp;",,,,0)")),"N/A")</f>
        <v>N/A</v>
      </c>
      <c r="F816" s="601" t="str">
        <f ca="1">IFERROR(IF(INDEX(MO_Common_QEndDate,0,COLUMN())&gt;TODAY(),FDS(MO.ReportCurrency&amp;HP.TradeCurrency,"FG_PRICE(NOW)"),FDS(MO.ReportCurrency&amp;HP.TradeCurrency,"P_PRICE_AVG("&amp;INDEX(MO_SNA_FPStartDate,0,COLUMN())&amp;","&amp;INDEX(MO_Common_QEndDate,0,COLUMN())&amp;",,,,0)")),"N/A")</f>
        <v>N/A</v>
      </c>
      <c r="G816" s="601" t="str">
        <f ca="1">IFERROR(IF(INDEX(MO_Common_QEndDate,0,COLUMN())&gt;TODAY(),FDS(MO.ReportCurrency&amp;HP.TradeCurrency,"FG_PRICE(NOW)"),FDS(MO.ReportCurrency&amp;HP.TradeCurrency,"P_PRICE_AVG("&amp;INDEX(MO_SNA_FPStartDate,0,COLUMN())&amp;","&amp;INDEX(MO_Common_QEndDate,0,COLUMN())&amp;",,,,0)")),"N/A")</f>
        <v>N/A</v>
      </c>
      <c r="H816" s="601" t="str">
        <f ca="1">IFERROR(IF(INDEX(MO_Common_QEndDate,0,COLUMN())&gt;TODAY(),FDS(MO.ReportCurrency&amp;HP.TradeCurrency,"FG_PRICE(NOW)"),FDS(MO.ReportCurrency&amp;HP.TradeCurrency,"P_PRICE_AVG("&amp;INDEX(MO_SNA_FPStartDate,0,COLUMN())&amp;","&amp;INDEX(MO_Common_QEndDate,0,COLUMN())&amp;",,,,0)")),"N/A")</f>
        <v>N/A</v>
      </c>
      <c r="I816" s="601" t="str">
        <f ca="1">IFERROR(IF(INDEX(MO_Common_QEndDate,0,COLUMN())&gt;TODAY(),FDS(MO.ReportCurrency&amp;HP.TradeCurrency,"FG_PRICE(NOW)"),FDS(MO.ReportCurrency&amp;HP.TradeCurrency,"P_PRICE_AVG("&amp;INDEX(MO_SNA_FPStartDate,0,COLUMN())&amp;","&amp;INDEX(MO_Common_QEndDate,0,COLUMN())&amp;",,,,0)")),"N/A")</f>
        <v>N/A</v>
      </c>
      <c r="J816" s="601" t="str">
        <f ca="1">IFERROR(IF(INDEX(MO_Common_QEndDate,0,COLUMN())&gt;TODAY(),FDS(MO.ReportCurrency&amp;HP.TradeCurrency,"FG_PRICE(NOW)"),FDS(MO.ReportCurrency&amp;HP.TradeCurrency,"P_PRICE_AVG("&amp;INDEX(MO_SNA_FPStartDate,0,COLUMN())&amp;","&amp;INDEX(MO_Common_QEndDate,0,COLUMN())&amp;",,,,0)")),"N/A")</f>
        <v>N/A</v>
      </c>
      <c r="K816" s="601" t="str">
        <f ca="1">IFERROR(IF(INDEX(MO_Common_QEndDate,0,COLUMN())&gt;TODAY(),FDS(MO.ReportCurrency&amp;HP.TradeCurrency,"FG_PRICE(NOW)"),FDS(MO.ReportCurrency&amp;HP.TradeCurrency,"P_PRICE_AVG("&amp;INDEX(MO_SNA_FPStartDate,0,COLUMN())&amp;","&amp;INDEX(MO_Common_QEndDate,0,COLUMN())&amp;",,,,0)")),"N/A")</f>
        <v>N/A</v>
      </c>
      <c r="L816" s="601" t="str">
        <f ca="1">IFERROR(IF(INDEX(MO_Common_QEndDate,0,COLUMN())&gt;TODAY(),FDS(MO.ReportCurrency&amp;HP.TradeCurrency,"FG_PRICE(NOW)"),FDS(MO.ReportCurrency&amp;HP.TradeCurrency,"P_PRICE_AVG("&amp;INDEX(MO_SNA_FPStartDate,0,COLUMN())&amp;","&amp;INDEX(MO_Common_QEndDate,0,COLUMN())&amp;",,,,0)")),"N/A")</f>
        <v>N/A</v>
      </c>
      <c r="M816" s="601" t="str">
        <f ca="1">IFERROR(IF(INDEX(MO_Common_QEndDate,0,COLUMN())&gt;TODAY(),FDS(MO.ReportCurrency&amp;HP.TradeCurrency,"FG_PRICE(NOW)"),FDS(MO.ReportCurrency&amp;HP.TradeCurrency,"P_PRICE_AVG("&amp;INDEX(MO_SNA_FPStartDate,0,COLUMN())&amp;","&amp;INDEX(MO_Common_QEndDate,0,COLUMN())&amp;",,,,0)")),"N/A")</f>
        <v>N/A</v>
      </c>
      <c r="N816" s="601" t="str">
        <f ca="1">IFERROR(IF(INDEX(MO_Common_QEndDate,0,COLUMN())&gt;TODAY(),FDS(MO.ReportCurrency&amp;HP.TradeCurrency,"FG_PRICE(NOW)"),FDS(MO.ReportCurrency&amp;HP.TradeCurrency,"P_PRICE_AVG("&amp;INDEX(MO_SNA_FPStartDate,0,COLUMN())&amp;","&amp;INDEX(MO_Common_QEndDate,0,COLUMN())&amp;",,,,0)")),"N/A")</f>
        <v>N/A</v>
      </c>
      <c r="O816" s="601" t="str">
        <f ca="1">IFERROR(IF(INDEX(MO_Common_QEndDate,0,COLUMN())&gt;TODAY(),FDS(MO.ReportCurrency&amp;HP.TradeCurrency,"FG_PRICE(NOW)"),FDS(MO.ReportCurrency&amp;HP.TradeCurrency,"P_PRICE_AVG("&amp;INDEX(MO_SNA_FPStartDate,0,COLUMN())&amp;","&amp;INDEX(MO_Common_QEndDate,0,COLUMN())&amp;",,,,0)")),"N/A")</f>
        <v>N/A</v>
      </c>
      <c r="P816" s="601" t="str">
        <f ca="1">IFERROR(IF(INDEX(MO_Common_QEndDate,0,COLUMN())&gt;TODAY(),FDS(MO.ReportCurrency&amp;HP.TradeCurrency,"FG_PRICE(NOW)"),FDS(MO.ReportCurrency&amp;HP.TradeCurrency,"P_PRICE_AVG("&amp;INDEX(MO_SNA_FPStartDate,0,COLUMN())&amp;","&amp;INDEX(MO_Common_QEndDate,0,COLUMN())&amp;",,,,0)")),"N/A")</f>
        <v>N/A</v>
      </c>
      <c r="Q816" s="601" t="str">
        <f ca="1">IFERROR(IF(INDEX(MO_Common_QEndDate,0,COLUMN())&gt;TODAY(),FDS(MO.ReportCurrency&amp;HP.TradeCurrency,"FG_PRICE(NOW)"),FDS(MO.ReportCurrency&amp;HP.TradeCurrency,"P_PRICE_AVG("&amp;INDEX(MO_SNA_FPStartDate,0,COLUMN())&amp;","&amp;INDEX(MO_Common_QEndDate,0,COLUMN())&amp;",,,,0)")),"N/A")</f>
        <v>N/A</v>
      </c>
      <c r="R816" s="601" t="str">
        <f ca="1">IFERROR(IF(INDEX(MO_Common_QEndDate,0,COLUMN())&gt;TODAY(),FDS(MO.ReportCurrency&amp;HP.TradeCurrency,"FG_PRICE(NOW)"),FDS(MO.ReportCurrency&amp;HP.TradeCurrency,"P_PRICE_AVG("&amp;INDEX(MO_SNA_FPStartDate,0,COLUMN())&amp;","&amp;INDEX(MO_Common_QEndDate,0,COLUMN())&amp;",,,,0)")),"N/A")</f>
        <v>N/A</v>
      </c>
      <c r="S816" s="601" t="str">
        <f ca="1">IFERROR(IF(INDEX(MO_Common_QEndDate,0,COLUMN())&gt;TODAY(),FDS(MO.ReportCurrency&amp;HP.TradeCurrency,"FG_PRICE(NOW)"),FDS(MO.ReportCurrency&amp;HP.TradeCurrency,"P_PRICE_AVG("&amp;INDEX(MO_SNA_FPStartDate,0,COLUMN())&amp;","&amp;INDEX(MO_Common_QEndDate,0,COLUMN())&amp;",,,,0)")),"N/A")</f>
        <v>N/A</v>
      </c>
      <c r="T816" s="601" t="str">
        <f ca="1">IFERROR(IF(INDEX(MO_Common_QEndDate,0,COLUMN())&gt;TODAY(),FDS(MO.ReportCurrency&amp;HP.TradeCurrency,"FG_PRICE(NOW)"),FDS(MO.ReportCurrency&amp;HP.TradeCurrency,"P_PRICE_AVG("&amp;INDEX(MO_SNA_FPStartDate,0,COLUMN())&amp;","&amp;INDEX(MO_Common_QEndDate,0,COLUMN())&amp;",,,,0)")),"N/A")</f>
        <v>N/A</v>
      </c>
      <c r="U816" s="601" t="str">
        <f ca="1">IFERROR(IF(INDEX(MO_Common_QEndDate,0,COLUMN())&gt;TODAY(),FDS(MO.ReportCurrency&amp;HP.TradeCurrency,"FG_PRICE(NOW)"),FDS(MO.ReportCurrency&amp;HP.TradeCurrency,"P_PRICE_AVG("&amp;INDEX(MO_SNA_FPStartDate,0,COLUMN())&amp;","&amp;INDEX(MO_Common_QEndDate,0,COLUMN())&amp;",,,,0)")),"N/A")</f>
        <v>N/A</v>
      </c>
      <c r="V816" s="601" t="str">
        <f ca="1">IFERROR(IF(INDEX(MO_Common_QEndDate,0,COLUMN())&gt;TODAY(),FDS(MO.ReportCurrency&amp;HP.TradeCurrency,"FG_PRICE(NOW)"),FDS(MO.ReportCurrency&amp;HP.TradeCurrency,"P_PRICE_AVG("&amp;INDEX(MO_SNA_FPStartDate,0,COLUMN())&amp;","&amp;INDEX(MO_Common_QEndDate,0,COLUMN())&amp;",,,,0)")),"N/A")</f>
        <v>N/A</v>
      </c>
      <c r="W816" s="601" t="str">
        <f ca="1">IFERROR(IF(INDEX(MO_Common_QEndDate,0,COLUMN())&gt;TODAY(),FDS(MO.ReportCurrency&amp;HP.TradeCurrency,"FG_PRICE(NOW)"),FDS(MO.ReportCurrency&amp;HP.TradeCurrency,"P_PRICE_AVG("&amp;INDEX(MO_SNA_FPStartDate,0,COLUMN())&amp;","&amp;INDEX(MO_Common_QEndDate,0,COLUMN())&amp;",,,,0)")),"N/A")</f>
        <v>N/A</v>
      </c>
      <c r="X816" s="601" t="str">
        <f ca="1">IFERROR(IF(INDEX(MO_Common_QEndDate,0,COLUMN())&gt;TODAY(),FDS(MO.ReportCurrency&amp;HP.TradeCurrency,"FG_PRICE(NOW)"),FDS(MO.ReportCurrency&amp;HP.TradeCurrency,"P_PRICE_AVG("&amp;INDEX(MO_SNA_FPStartDate,0,COLUMN())&amp;","&amp;INDEX(MO_Common_QEndDate,0,COLUMN())&amp;",,,,0)")),"N/A")</f>
        <v>N/A</v>
      </c>
      <c r="Y816" s="601" t="str">
        <f ca="1">IFERROR(IF(INDEX(MO_Common_QEndDate,0,COLUMN())&gt;TODAY(),FDS(MO.ReportCurrency&amp;HP.TradeCurrency,"FG_PRICE(NOW)"),FDS(MO.ReportCurrency&amp;HP.TradeCurrency,"P_PRICE_AVG("&amp;INDEX(MO_SNA_FPStartDate,0,COLUMN())&amp;","&amp;INDEX(MO_Common_QEndDate,0,COLUMN())&amp;",,,,0)")),"N/A")</f>
        <v>N/A</v>
      </c>
      <c r="Z816" s="601" t="str">
        <f ca="1">IFERROR(IF(INDEX(MO_Common_QEndDate,0,COLUMN())&gt;TODAY(),FDS(MO.ReportCurrency&amp;HP.TradeCurrency,"FG_PRICE(NOW)"),FDS(MO.ReportCurrency&amp;HP.TradeCurrency,"P_PRICE_AVG("&amp;INDEX(MO_SNA_FPStartDate,0,COLUMN())&amp;","&amp;INDEX(MO_Common_QEndDate,0,COLUMN())&amp;",,,,0)")),"N/A")</f>
        <v>N/A</v>
      </c>
      <c r="AA816" s="601" t="str">
        <f ca="1">IFERROR(IF(INDEX(MO_Common_QEndDate,0,COLUMN())&gt;TODAY(),FDS(MO.ReportCurrency&amp;HP.TradeCurrency,"FG_PRICE(NOW)"),FDS(MO.ReportCurrency&amp;HP.TradeCurrency,"P_PRICE_AVG("&amp;INDEX(MO_SNA_FPStartDate,0,COLUMN())&amp;","&amp;INDEX(MO_Common_QEndDate,0,COLUMN())&amp;",,,,0)")),"N/A")</f>
        <v>N/A</v>
      </c>
      <c r="AB816" s="601" t="str">
        <f ca="1">IFERROR(IF(INDEX(MO_Common_QEndDate,0,COLUMN())&gt;TODAY(),FDS(MO.ReportCurrency&amp;HP.TradeCurrency,"FG_PRICE(NOW)"),FDS(MO.ReportCurrency&amp;HP.TradeCurrency,"P_PRICE_AVG("&amp;INDEX(MO_SNA_FPStartDate,0,COLUMN())&amp;","&amp;INDEX(MO_Common_QEndDate,0,COLUMN())&amp;",,,,0)")),"N/A")</f>
        <v>N/A</v>
      </c>
      <c r="AC816" s="601" t="str">
        <f ca="1">IFERROR(IF(INDEX(MO_Common_QEndDate,0,COLUMN())&gt;TODAY(),FDS(MO.ReportCurrency&amp;HP.TradeCurrency,"FG_PRICE(NOW)"),FDS(MO.ReportCurrency&amp;HP.TradeCurrency,"P_PRICE_AVG("&amp;INDEX(MO_SNA_FPStartDate,0,COLUMN())&amp;","&amp;INDEX(MO_Common_QEndDate,0,COLUMN())&amp;",,,,0)")),"N/A")</f>
        <v>N/A</v>
      </c>
      <c r="AD816" s="601" t="str">
        <f ca="1">IFERROR(IF(INDEX(MO_Common_QEndDate,0,COLUMN())&gt;TODAY(),FDS(MO.ReportCurrency&amp;HP.TradeCurrency,"FG_PRICE(NOW)"),FDS(MO.ReportCurrency&amp;HP.TradeCurrency,"P_PRICE_AVG("&amp;INDEX(MO_SNA_FPStartDate,0,COLUMN())&amp;","&amp;INDEX(MO_Common_QEndDate,0,COLUMN())&amp;",,,,0)")),"N/A")</f>
        <v>N/A</v>
      </c>
      <c r="AE816" s="601" t="str">
        <f ca="1">IFERROR(IF(INDEX(MO_Common_QEndDate,0,COLUMN())&gt;TODAY(),FDS(MO.ReportCurrency&amp;HP.TradeCurrency,"FG_PRICE(NOW)"),FDS(MO.ReportCurrency&amp;HP.TradeCurrency,"P_PRICE_AVG("&amp;INDEX(MO_SNA_FPStartDate,0,COLUMN())&amp;","&amp;INDEX(MO_Common_QEndDate,0,COLUMN())&amp;",,,,0)")),"N/A")</f>
        <v>N/A</v>
      </c>
      <c r="AF816" s="601" t="str">
        <f ca="1">IFERROR(IF(INDEX(MO_Common_QEndDate,0,COLUMN())&gt;TODAY(),FDS(MO.ReportCurrency&amp;HP.TradeCurrency,"FG_PRICE(NOW)"),FDS(MO.ReportCurrency&amp;HP.TradeCurrency,"P_PRICE_AVG("&amp;INDEX(MO_SNA_FPStartDate,0,COLUMN())&amp;","&amp;INDEX(MO_Common_QEndDate,0,COLUMN())&amp;",,,,0)")),"N/A")</f>
        <v>N/A</v>
      </c>
      <c r="AG816" s="601" t="str">
        <f ca="1">IFERROR(IF(INDEX(MO_Common_QEndDate,0,COLUMN())&gt;TODAY(),FDS(MO.ReportCurrency&amp;HP.TradeCurrency,"FG_PRICE(NOW)"),FDS(MO.ReportCurrency&amp;HP.TradeCurrency,"P_PRICE_AVG("&amp;INDEX(MO_SNA_FPStartDate,0,COLUMN())&amp;","&amp;INDEX(MO_Common_QEndDate,0,COLUMN())&amp;",,,,0)")),"N/A")</f>
        <v>N/A</v>
      </c>
      <c r="AH816" s="601" t="str">
        <f ca="1">IFERROR(IF(INDEX(MO_Common_QEndDate,0,COLUMN())&gt;TODAY(),FDS(MO.ReportCurrency&amp;HP.TradeCurrency,"FG_PRICE(NOW)"),FDS(MO.ReportCurrency&amp;HP.TradeCurrency,"P_PRICE_AVG("&amp;INDEX(MO_SNA_FPStartDate,0,COLUMN())&amp;","&amp;INDEX(MO_Common_QEndDate,0,COLUMN())&amp;",,,,0)")),"N/A")</f>
        <v>N/A</v>
      </c>
      <c r="AI816" s="601" t="str">
        <f ca="1">IFERROR(IF(INDEX(MO_Common_QEndDate,0,COLUMN())&gt;TODAY(),FDS(MO.ReportCurrency&amp;HP.TradeCurrency,"FG_PRICE(NOW)"),FDS(MO.ReportCurrency&amp;HP.TradeCurrency,"P_PRICE_AVG("&amp;INDEX(MO_SNA_FPStartDate,0,COLUMN())&amp;","&amp;INDEX(MO_Common_QEndDate,0,COLUMN())&amp;",,,,0)")),"N/A")</f>
        <v>N/A</v>
      </c>
      <c r="AJ816" s="601" t="str">
        <f ca="1">IFERROR(IF(INDEX(MO_Common_QEndDate,0,COLUMN())&gt;TODAY(),FDS(MO.ReportCurrency&amp;HP.TradeCurrency,"FG_PRICE(NOW)"),FDS(MO.ReportCurrency&amp;HP.TradeCurrency,"P_PRICE_AVG("&amp;INDEX(MO_SNA_FPStartDate,0,COLUMN())&amp;","&amp;INDEX(MO_Common_QEndDate,0,COLUMN())&amp;",,,,0)")),"N/A")</f>
        <v>N/A</v>
      </c>
      <c r="AK816" s="601" t="str">
        <f ca="1">IFERROR(IF(INDEX(MO_Common_QEndDate,0,COLUMN())&gt;TODAY(),FDS(MO.ReportCurrency&amp;HP.TradeCurrency,"FG_PRICE(NOW)"),FDS(MO.ReportCurrency&amp;HP.TradeCurrency,"P_PRICE_AVG("&amp;INDEX(MO_SNA_FPStartDate,0,COLUMN())&amp;","&amp;INDEX(MO_Common_QEndDate,0,COLUMN())&amp;",,,,0)")),"N/A")</f>
        <v>N/A</v>
      </c>
      <c r="AL816" s="601" t="str">
        <f ca="1">IFERROR(IF(INDEX(MO_Common_QEndDate,0,COLUMN())&gt;TODAY(),FDS(MO.ReportCurrency&amp;HP.TradeCurrency,"FG_PRICE(NOW)"),FDS(MO.ReportCurrency&amp;HP.TradeCurrency,"P_PRICE_AVG("&amp;INDEX(MO_SNA_FPStartDate,0,COLUMN())&amp;","&amp;INDEX(MO_Common_QEndDate,0,COLUMN())&amp;",,,,0)")),"N/A")</f>
        <v>N/A</v>
      </c>
      <c r="AM816" s="601" t="str">
        <f ca="1">IFERROR(IF(INDEX(MO_Common_QEndDate,0,COLUMN())&gt;TODAY(),FDS(MO.ReportCurrency&amp;HP.TradeCurrency,"FG_PRICE(NOW)"),FDS(MO.ReportCurrency&amp;HP.TradeCurrency,"P_PRICE_AVG("&amp;INDEX(MO_SNA_FPStartDate,0,COLUMN())&amp;","&amp;INDEX(MO_Common_QEndDate,0,COLUMN())&amp;",,,,0)")),"N/A")</f>
        <v>N/A</v>
      </c>
      <c r="AN816" s="601" t="str">
        <f ca="1">IFERROR(IF(INDEX(MO_Common_QEndDate,0,COLUMN())&gt;TODAY(),FDS(MO.ReportCurrency&amp;HP.TradeCurrency,"FG_PRICE(NOW)"),FDS(MO.ReportCurrency&amp;HP.TradeCurrency,"P_PRICE_AVG("&amp;INDEX(MO_SNA_FPStartDate,0,COLUMN())&amp;","&amp;INDEX(MO_Common_QEndDate,0,COLUMN())&amp;",,,,0)")),"N/A")</f>
        <v>N/A</v>
      </c>
      <c r="AO816" s="601" t="str">
        <f ca="1">IFERROR(IF(INDEX(MO_Common_QEndDate,0,COLUMN())&gt;TODAY(),FDS(MO.ReportCurrency&amp;HP.TradeCurrency,"FG_PRICE(NOW)"),FDS(MO.ReportCurrency&amp;HP.TradeCurrency,"P_PRICE_AVG("&amp;INDEX(MO_SNA_FPStartDate,0,COLUMN())&amp;","&amp;INDEX(MO_Common_QEndDate,0,COLUMN())&amp;",,,,0)")),"N/A")</f>
        <v>N/A</v>
      </c>
      <c r="AP816" s="601" t="str">
        <f ca="1">IFERROR(IF(INDEX(MO_Common_QEndDate,0,COLUMN())&gt;TODAY(),FDS(MO.ReportCurrency&amp;HP.TradeCurrency,"FG_PRICE(NOW)"),FDS(MO.ReportCurrency&amp;HP.TradeCurrency,"P_PRICE_AVG("&amp;INDEX(MO_SNA_FPStartDate,0,COLUMN())&amp;","&amp;INDEX(MO_Common_QEndDate,0,COLUMN())&amp;",,,,0)")),"N/A")</f>
        <v>N/A</v>
      </c>
      <c r="AQ816" s="601" t="str">
        <f ca="1">IFERROR(IF(INDEX(MO_Common_QEndDate,0,COLUMN())&gt;TODAY(),FDS(MO.ReportCurrency&amp;HP.TradeCurrency,"FG_PRICE(NOW)"),FDS(MO.ReportCurrency&amp;HP.TradeCurrency,"P_PRICE_AVG("&amp;INDEX(MO_SNA_FPStartDate,0,COLUMN())&amp;","&amp;INDEX(MO_Common_QEndDate,0,COLUMN())&amp;",,,,0)")),"N/A")</f>
        <v>N/A</v>
      </c>
      <c r="AR816" s="601" t="str">
        <f ca="1">IFERROR(IF(INDEX(MO_Common_QEndDate,0,COLUMN())&gt;TODAY(),FDS(MO.ReportCurrency&amp;HP.TradeCurrency,"FG_PRICE(NOW)"),FDS(MO.ReportCurrency&amp;HP.TradeCurrency,"P_PRICE_AVG("&amp;INDEX(MO_SNA_FPStartDate,0,COLUMN())&amp;","&amp;INDEX(MO_Common_QEndDate,0,COLUMN())&amp;",,,,0)")),"N/A")</f>
        <v>N/A</v>
      </c>
      <c r="AS816" s="601" t="str">
        <f ca="1">IFERROR(IF(INDEX(MO_Common_QEndDate,0,COLUMN())&gt;TODAY(),FDS(MO.ReportCurrency&amp;HP.TradeCurrency,"FG_PRICE(NOW)"),FDS(MO.ReportCurrency&amp;HP.TradeCurrency,"P_PRICE_AVG("&amp;INDEX(MO_SNA_FPStartDate,0,COLUMN())&amp;","&amp;INDEX(MO_Common_QEndDate,0,COLUMN())&amp;",,,,0)")),"N/A")</f>
        <v>N/A</v>
      </c>
      <c r="AT816" s="601" t="str">
        <f ca="1">IFERROR(IF(INDEX(MO_Common_QEndDate,0,COLUMN())&gt;TODAY(),FDS(MO.ReportCurrency&amp;HP.TradeCurrency,"FG_PRICE(NOW)"),FDS(MO.ReportCurrency&amp;HP.TradeCurrency,"P_PRICE_AVG("&amp;INDEX(MO_SNA_FPStartDate,0,COLUMN())&amp;","&amp;INDEX(MO_Common_QEndDate,0,COLUMN())&amp;",,,,0)")),"N/A")</f>
        <v>N/A</v>
      </c>
      <c r="AU816" s="601" t="str">
        <f ca="1">IFERROR(IF(INDEX(MO_Common_QEndDate,0,COLUMN())&gt;TODAY(),FDS(MO.ReportCurrency&amp;HP.TradeCurrency,"FG_PRICE(NOW)"),FDS(MO.ReportCurrency&amp;HP.TradeCurrency,"P_PRICE_AVG("&amp;INDEX(MO_SNA_FPStartDate,0,COLUMN())&amp;","&amp;INDEX(MO_Common_QEndDate,0,COLUMN())&amp;",,,,0)")),"N/A")</f>
        <v>N/A</v>
      </c>
      <c r="AV816" s="601" t="str">
        <f ca="1">IFERROR(IF(INDEX(MO_Common_QEndDate,0,COLUMN())&gt;TODAY(),FDS(MO.ReportCurrency&amp;HP.TradeCurrency,"FG_PRICE(NOW)"),FDS(MO.ReportCurrency&amp;HP.TradeCurrency,"P_PRICE_AVG("&amp;INDEX(MO_SNA_FPStartDate,0,COLUMN())&amp;","&amp;INDEX(MO_Common_QEndDate,0,COLUMN())&amp;",,,,0)")),"N/A")</f>
        <v>N/A</v>
      </c>
      <c r="AW816" s="601" t="str">
        <f ca="1">IFERROR(IF(INDEX(MO_Common_QEndDate,0,COLUMN())&gt;TODAY(),FDS(MO.ReportCurrency&amp;HP.TradeCurrency,"FG_PRICE(NOW)"),FDS(MO.ReportCurrency&amp;HP.TradeCurrency,"P_PRICE_AVG("&amp;INDEX(MO_SNA_FPStartDate,0,COLUMN())&amp;","&amp;INDEX(MO_Common_QEndDate,0,COLUMN())&amp;",,,,0)")),"N/A")</f>
        <v>N/A</v>
      </c>
      <c r="AX816" s="601" t="str">
        <f ca="1">IFERROR(IF(INDEX(MO_Common_QEndDate,0,COLUMN())&gt;TODAY(),FDS(MO.ReportCurrency&amp;HP.TradeCurrency,"FG_PRICE(NOW)"),FDS(MO.ReportCurrency&amp;HP.TradeCurrency,"P_PRICE_AVG("&amp;INDEX(MO_SNA_FPStartDate,0,COLUMN())&amp;","&amp;INDEX(MO_Common_QEndDate,0,COLUMN())&amp;",,,,0)")),"N/A")</f>
        <v>N/A</v>
      </c>
      <c r="AY816" s="601" t="str">
        <f ca="1">IFERROR(IF(INDEX(MO_Common_QEndDate,0,COLUMN())&gt;TODAY(),FDS(MO.ReportCurrency&amp;HP.TradeCurrency,"FG_PRICE(NOW)"),FDS(MO.ReportCurrency&amp;HP.TradeCurrency,"P_PRICE_AVG("&amp;INDEX(MO_SNA_FPStartDate,0,COLUMN())&amp;","&amp;INDEX(MO_Common_QEndDate,0,COLUMN())&amp;",,,,0)")),"N/A")</f>
        <v>N/A</v>
      </c>
      <c r="AZ816" s="601" t="str">
        <f ca="1">IFERROR(IF(INDEX(MO_Common_QEndDate,0,COLUMN())&gt;TODAY(),FDS(MO.ReportCurrency&amp;HP.TradeCurrency,"FG_PRICE(NOW)"),FDS(MO.ReportCurrency&amp;HP.TradeCurrency,"P_PRICE_AVG("&amp;INDEX(MO_SNA_FPStartDate,0,COLUMN())&amp;","&amp;INDEX(MO_Common_QEndDate,0,COLUMN())&amp;",,,,0)")),"N/A")</f>
        <v>N/A</v>
      </c>
      <c r="BA816" s="601" t="str">
        <f ca="1">IFERROR(IF(INDEX(MO_Common_QEndDate,0,COLUMN())&gt;TODAY(),FDS(MO.ReportCurrency&amp;HP.TradeCurrency,"FG_PRICE(NOW)"),FDS(MO.ReportCurrency&amp;HP.TradeCurrency,"P_PRICE_AVG("&amp;INDEX(MO_SNA_FPStartDate,0,COLUMN())&amp;","&amp;INDEX(MO_Common_QEndDate,0,COLUMN())&amp;",,,,0)")),"N/A")</f>
        <v>N/A</v>
      </c>
      <c r="BB816" s="601" t="str">
        <f ca="1">IFERROR(IF(INDEX(MO_Common_QEndDate,0,COLUMN())&gt;TODAY(),FDS(MO.ReportCurrency&amp;HP.TradeCurrency,"FG_PRICE(NOW)"),FDS(MO.ReportCurrency&amp;HP.TradeCurrency,"P_PRICE_AVG("&amp;INDEX(MO_SNA_FPStartDate,0,COLUMN())&amp;","&amp;INDEX(MO_Common_QEndDate,0,COLUMN())&amp;",,,,0)")),"N/A")</f>
        <v>N/A</v>
      </c>
      <c r="BC816" s="601" t="str">
        <f ca="1">IFERROR(IF(INDEX(MO_Common_QEndDate,0,COLUMN())&gt;TODAY(),FDS(MO.ReportCurrency&amp;HP.TradeCurrency,"FG_PRICE(NOW)"),FDS(MO.ReportCurrency&amp;HP.TradeCurrency,"P_PRICE_AVG("&amp;INDEX(MO_SNA_FPStartDate,0,COLUMN())&amp;","&amp;INDEX(MO_Common_QEndDate,0,COLUMN())&amp;",,,,0)")),"N/A")</f>
        <v>N/A</v>
      </c>
      <c r="BD816" s="601" t="str">
        <f ca="1">IFERROR(IF(INDEX(MO_Common_QEndDate,0,COLUMN())&gt;TODAY(),FDS(MO.ReportCurrency&amp;HP.TradeCurrency,"FG_PRICE(NOW)"),FDS(MO.ReportCurrency&amp;HP.TradeCurrency,"P_PRICE_AVG("&amp;INDEX(MO_SNA_FPStartDate,0,COLUMN())&amp;","&amp;INDEX(MO_Common_QEndDate,0,COLUMN())&amp;",,,,0)")),"N/A")</f>
        <v>N/A</v>
      </c>
      <c r="BE816" s="601" t="str">
        <f ca="1">IFERROR(IF(INDEX(MO_Common_QEndDate,0,COLUMN())&gt;TODAY(),FDS(MO.ReportCurrency&amp;HP.TradeCurrency,"FG_PRICE(NOW)"),FDS(MO.ReportCurrency&amp;HP.TradeCurrency,"P_PRICE_AVG("&amp;INDEX(MO_SNA_FPStartDate,0,COLUMN())&amp;","&amp;INDEX(MO_Common_QEndDate,0,COLUMN())&amp;",,,,0)")),"N/A")</f>
        <v>N/A</v>
      </c>
      <c r="BF816" s="601" t="str">
        <f ca="1">IFERROR(IF(INDEX(MO_Common_QEndDate,0,COLUMN())&gt;TODAY(),FDS(MO.ReportCurrency&amp;HP.TradeCurrency,"FG_PRICE(NOW)"),FDS(MO.ReportCurrency&amp;HP.TradeCurrency,"P_PRICE_AVG("&amp;INDEX(MO_SNA_FPStartDate,0,COLUMN())&amp;","&amp;INDEX(MO_Common_QEndDate,0,COLUMN())&amp;",,,,0)")),"N/A")</f>
        <v>N/A</v>
      </c>
      <c r="BG816" s="601" t="str">
        <f ca="1">IFERROR(IF(INDEX(MO_Common_QEndDate,0,COLUMN())&gt;TODAY(),FDS(MO.ReportCurrency&amp;HP.TradeCurrency,"FG_PRICE(NOW)"),FDS(MO.ReportCurrency&amp;HP.TradeCurrency,"P_PRICE_AVG("&amp;INDEX(MO_SNA_FPStartDate,0,COLUMN())&amp;","&amp;INDEX(MO_Common_QEndDate,0,COLUMN())&amp;",,,,0)")),"N/A")</f>
        <v>N/A</v>
      </c>
      <c r="BH816" s="602" t="str">
        <f ca="1">IFERROR(IF(INDEX(MO_Common_QEndDate,0,COLUMN())&gt;TODAY(),FDS(MO.ReportCurrency&amp;HP.TradeCurrency,"FG_PRICE(NOW)"),FDS(MO.ReportCurrency&amp;HP.TradeCurrency,"P_PRICE_AVG("&amp;INDEX(MO_SNA_FPStartDate,0,COLUMN())&amp;","&amp;INDEX(MO_Common_QEndDate,0,COLUMN())&amp;",,,,0)")),"N/A")</f>
        <v>N/A</v>
      </c>
      <c r="BI816" s="601" t="str">
        <f ca="1">IFERROR(IF(INDEX(MO_Common_QEndDate,0,COLUMN())&gt;TODAY(),FDS(MO.ReportCurrency&amp;HP.TradeCurrency,"FG_PRICE(NOW)"),FDS(MO.ReportCurrency&amp;HP.TradeCurrency,"P_PRICE_AVG("&amp;INDEX(MO_SNA_FPStartDate,0,COLUMN())&amp;","&amp;INDEX(MO_Common_QEndDate,0,COLUMN())&amp;",,,,0)")),"N/A")</f>
        <v>N/A</v>
      </c>
      <c r="BJ816" s="601" t="str">
        <f ca="1">IFERROR(IF(INDEX(MO_Common_QEndDate,0,COLUMN())&gt;TODAY(),FDS(MO.ReportCurrency&amp;HP.TradeCurrency,"FG_PRICE(NOW)"),FDS(MO.ReportCurrency&amp;HP.TradeCurrency,"P_PRICE_AVG("&amp;INDEX(MO_SNA_FPStartDate,0,COLUMN())&amp;","&amp;INDEX(MO_Common_QEndDate,0,COLUMN())&amp;",,,,0)")),"N/A")</f>
        <v>N/A</v>
      </c>
      <c r="BK816" s="601" t="str">
        <f ca="1">IFERROR(IF(INDEX(MO_Common_QEndDate,0,COLUMN())&gt;TODAY(),FDS(MO.ReportCurrency&amp;HP.TradeCurrency,"FG_PRICE(NOW)"),FDS(MO.ReportCurrency&amp;HP.TradeCurrency,"P_PRICE_AVG("&amp;INDEX(MO_SNA_FPStartDate,0,COLUMN())&amp;","&amp;INDEX(MO_Common_QEndDate,0,COLUMN())&amp;",,,,0)")),"N/A")</f>
        <v>N/A</v>
      </c>
      <c r="BL816" s="601" t="str">
        <f ca="1">IFERROR(IF(INDEX(MO_Common_QEndDate,0,COLUMN())&gt;TODAY(),FDS(MO.ReportCurrency&amp;HP.TradeCurrency,"FG_PRICE(NOW)"),FDS(MO.ReportCurrency&amp;HP.TradeCurrency,"P_PRICE_AVG("&amp;INDEX(MO_SNA_FPStartDate,0,COLUMN())&amp;","&amp;INDEX(MO_Common_QEndDate,0,COLUMN())&amp;",,,,0)")),"N/A")</f>
        <v>N/A</v>
      </c>
      <c r="BM816" s="601" t="str">
        <f ca="1">IFERROR(IF(INDEX(MO_Common_QEndDate,0,COLUMN())&gt;TODAY(),FDS(MO.ReportCurrency&amp;HP.TradeCurrency,"FG_PRICE(NOW)"),FDS(MO.ReportCurrency&amp;HP.TradeCurrency,"P_PRICE_AVG("&amp;INDEX(MO_SNA_FPStartDate,0,COLUMN())&amp;","&amp;INDEX(MO_Common_QEndDate,0,COLUMN())&amp;",,,,0)")),"N/A")</f>
        <v>N/A</v>
      </c>
      <c r="BN816" s="601" t="str">
        <f ca="1">IFERROR(IF(INDEX(MO_Common_QEndDate,0,COLUMN())&gt;TODAY(),FDS(MO.ReportCurrency&amp;HP.TradeCurrency,"FG_PRICE(NOW)"),FDS(MO.ReportCurrency&amp;HP.TradeCurrency,"P_PRICE_AVG("&amp;INDEX(MO_SNA_FPStartDate,0,COLUMN())&amp;","&amp;INDEX(MO_Common_QEndDate,0,COLUMN())&amp;",,,,0)")),"N/A")</f>
        <v>N/A</v>
      </c>
      <c r="BO816" s="601" t="str">
        <f ca="1">IFERROR(IF(INDEX(MO_Common_QEndDate,0,COLUMN())&gt;TODAY(),FDS(MO.ReportCurrency&amp;HP.TradeCurrency,"FG_PRICE(NOW)"),FDS(MO.ReportCurrency&amp;HP.TradeCurrency,"P_PRICE_AVG("&amp;INDEX(MO_SNA_FPStartDate,0,COLUMN())&amp;","&amp;INDEX(MO_Common_QEndDate,0,COLUMN())&amp;",,,,0)")),"N/A")</f>
        <v>N/A</v>
      </c>
      <c r="BP816" s="601" t="str">
        <f ca="1">IFERROR(IF(INDEX(MO_Common_QEndDate,0,COLUMN())&gt;TODAY(),FDS(MO.ReportCurrency&amp;HP.TradeCurrency,"FG_PRICE(NOW)"),FDS(MO.ReportCurrency&amp;HP.TradeCurrency,"P_PRICE_AVG("&amp;INDEX(MO_SNA_FPStartDate,0,COLUMN())&amp;","&amp;INDEX(MO_Common_QEndDate,0,COLUMN())&amp;",,,,0)")),"N/A")</f>
        <v>N/A</v>
      </c>
      <c r="BQ816" s="601" t="str">
        <f ca="1">IFERROR(IF(INDEX(MO_Common_QEndDate,0,COLUMN())&gt;TODAY(),FDS(MO.ReportCurrency&amp;HP.TradeCurrency,"FG_PRICE(NOW)"),FDS(MO.ReportCurrency&amp;HP.TradeCurrency,"P_PRICE_AVG("&amp;INDEX(MO_SNA_FPStartDate,0,COLUMN())&amp;","&amp;INDEX(MO_Common_QEndDate,0,COLUMN())&amp;",,,,0)")),"N/A")</f>
        <v>N/A</v>
      </c>
      <c r="BR816" s="603" t="str">
        <f ca="1">IFERROR(IF(INDEX(MO_Common_QEndDate,0,COLUMN())&gt;TODAY(),FDS(MO.ReportCurrency&amp;HP.TradeCurrency,"FG_PRICE(NOW)"),FDS(MO.ReportCurrency&amp;HP.TradeCurrency,"P_PRICE_AVG("&amp;INDEX(MO_SNA_FPStartDate,0,COLUMN())&amp;","&amp;INDEX(MO_Common_QEndDate,0,COLUMN())&amp;",,,,0)")),"N/A")</f>
        <v>N/A</v>
      </c>
      <c r="BS816" s="349"/>
    </row>
    <row r="817" spans="1:71" s="292" customFormat="1" ht="15" hidden="1" outlineLevel="1">
      <c r="A817" s="293" t="s">
        <v>540</v>
      </c>
      <c r="B817" s="601"/>
      <c r="C817" s="600" t="str">
        <f t="shared" si="1496" ref="C817:AQ817">"N/A"</f>
        <v>N/A</v>
      </c>
      <c r="D817" s="600" t="str">
        <f t="shared" si="1496"/>
        <v>N/A</v>
      </c>
      <c r="E817" s="601" t="str">
        <f t="shared" si="1496"/>
        <v>N/A</v>
      </c>
      <c r="F817" s="601" t="str">
        <f t="shared" si="1496"/>
        <v>N/A</v>
      </c>
      <c r="G817" s="601" t="str">
        <f t="shared" si="1496"/>
        <v>N/A</v>
      </c>
      <c r="H817" s="601" t="str">
        <f t="shared" si="1496"/>
        <v>N/A</v>
      </c>
      <c r="I817" s="601" t="str">
        <f t="shared" si="1496"/>
        <v>N/A</v>
      </c>
      <c r="J817" s="601" t="str">
        <f t="shared" si="1496"/>
        <v>N/A</v>
      </c>
      <c r="K817" s="601" t="str">
        <f t="shared" si="1496"/>
        <v>N/A</v>
      </c>
      <c r="L817" s="601" t="str">
        <f t="shared" si="1496"/>
        <v>N/A</v>
      </c>
      <c r="M817" s="601" t="str">
        <f t="shared" si="1496"/>
        <v>N/A</v>
      </c>
      <c r="N817" s="601" t="str">
        <f t="shared" si="1496"/>
        <v>N/A</v>
      </c>
      <c r="O817" s="601" t="str">
        <f t="shared" si="1496"/>
        <v>N/A</v>
      </c>
      <c r="P817" s="601" t="str">
        <f t="shared" si="1496"/>
        <v>N/A</v>
      </c>
      <c r="Q817" s="601" t="str">
        <f t="shared" si="1496"/>
        <v>N/A</v>
      </c>
      <c r="R817" s="601" t="str">
        <f t="shared" si="1496"/>
        <v>N/A</v>
      </c>
      <c r="S817" s="601" t="str">
        <f t="shared" si="1496"/>
        <v>N/A</v>
      </c>
      <c r="T817" s="601" t="str">
        <f t="shared" si="1496"/>
        <v>N/A</v>
      </c>
      <c r="U817" s="601" t="str">
        <f t="shared" si="1496"/>
        <v>N/A</v>
      </c>
      <c r="V817" s="601" t="str">
        <f t="shared" si="1496"/>
        <v>N/A</v>
      </c>
      <c r="W817" s="601" t="str">
        <f t="shared" si="1496"/>
        <v>N/A</v>
      </c>
      <c r="X817" s="601" t="str">
        <f t="shared" si="1496"/>
        <v>N/A</v>
      </c>
      <c r="Y817" s="601" t="str">
        <f t="shared" si="1496"/>
        <v>N/A</v>
      </c>
      <c r="Z817" s="601" t="str">
        <f t="shared" si="1496"/>
        <v>N/A</v>
      </c>
      <c r="AA817" s="601" t="str">
        <f t="shared" si="1496"/>
        <v>N/A</v>
      </c>
      <c r="AB817" s="601" t="str">
        <f t="shared" si="1496"/>
        <v>N/A</v>
      </c>
      <c r="AC817" s="601" t="str">
        <f t="shared" si="1496"/>
        <v>N/A</v>
      </c>
      <c r="AD817" s="601" t="str">
        <f t="shared" si="1496"/>
        <v>N/A</v>
      </c>
      <c r="AE817" s="601" t="str">
        <f t="shared" si="1496"/>
        <v>N/A</v>
      </c>
      <c r="AF817" s="601" t="str">
        <f t="shared" si="1496"/>
        <v>N/A</v>
      </c>
      <c r="AG817" s="601" t="str">
        <f t="shared" si="1496"/>
        <v>N/A</v>
      </c>
      <c r="AH817" s="601" t="str">
        <f t="shared" si="1496"/>
        <v>N/A</v>
      </c>
      <c r="AI817" s="601" t="str">
        <f t="shared" si="1496"/>
        <v>N/A</v>
      </c>
      <c r="AJ817" s="601" t="str">
        <f t="shared" si="1496"/>
        <v>N/A</v>
      </c>
      <c r="AK817" s="601" t="str">
        <f t="shared" si="1496"/>
        <v>N/A</v>
      </c>
      <c r="AL817" s="601" t="str">
        <f t="shared" si="1496"/>
        <v>N/A</v>
      </c>
      <c r="AM817" s="601" t="str">
        <f t="shared" si="1496"/>
        <v>N/A</v>
      </c>
      <c r="AN817" s="601" t="str">
        <f>"N/A"</f>
        <v>N/A</v>
      </c>
      <c r="AO817" s="601" t="str">
        <f t="shared" si="1496"/>
        <v>N/A</v>
      </c>
      <c r="AP817" s="601" t="str">
        <f t="shared" si="1496"/>
        <v>N/A</v>
      </c>
      <c r="AQ817" s="601" t="str">
        <f t="shared" si="1496"/>
        <v>N/A</v>
      </c>
      <c r="AR817" s="601" t="str">
        <f t="shared" si="1497" ref="AR817:AW817">"N/A"</f>
        <v>N/A</v>
      </c>
      <c r="AS817" s="601" t="str">
        <f t="shared" si="1497"/>
        <v>N/A</v>
      </c>
      <c r="AT817" s="601" t="str">
        <f t="shared" si="1497"/>
        <v>N/A</v>
      </c>
      <c r="AU817" s="601" t="str">
        <f t="shared" si="1497"/>
        <v>N/A</v>
      </c>
      <c r="AV817" s="601" t="str">
        <f t="shared" si="1497"/>
        <v>N/A</v>
      </c>
      <c r="AW817" s="601" t="str">
        <f t="shared" si="1497"/>
        <v>N/A</v>
      </c>
      <c r="AX817" s="601" t="str">
        <f t="shared" si="1498" ref="AX817:BJ817">"N/A"</f>
        <v>N/A</v>
      </c>
      <c r="AY817" s="601" t="str">
        <f t="shared" si="1498"/>
        <v>N/A</v>
      </c>
      <c r="AZ817" s="601" t="str">
        <f t="shared" si="1498"/>
        <v>N/A</v>
      </c>
      <c r="BA817" s="601" t="str">
        <f t="shared" si="1499" ref="BA817:BI817">"N/A"</f>
        <v>N/A</v>
      </c>
      <c r="BB817" s="601" t="str">
        <f t="shared" si="1499"/>
        <v>N/A</v>
      </c>
      <c r="BC817" s="601" t="str">
        <f t="shared" si="1499"/>
        <v>N/A</v>
      </c>
      <c r="BD817" s="601" t="str">
        <f t="shared" si="1499"/>
        <v>N/A</v>
      </c>
      <c r="BE817" s="601" t="str">
        <f t="shared" si="1499"/>
        <v>N/A</v>
      </c>
      <c r="BF817" s="601" t="str">
        <f>"N/A"</f>
        <v>N/A</v>
      </c>
      <c r="BG817" s="601" t="str">
        <f>"N/A"</f>
        <v>N/A</v>
      </c>
      <c r="BH817" s="602" t="str">
        <f>"N/A"</f>
        <v>N/A</v>
      </c>
      <c r="BI817" s="601" t="str">
        <f t="shared" si="1499"/>
        <v>N/A</v>
      </c>
      <c r="BJ817" s="601" t="str">
        <f t="shared" si="1498"/>
        <v>N/A</v>
      </c>
      <c r="BK817" s="601" t="str">
        <f t="shared" si="1500" ref="BK817:BR817">"N/A"</f>
        <v>N/A</v>
      </c>
      <c r="BL817" s="601" t="str">
        <f t="shared" si="1500"/>
        <v>N/A</v>
      </c>
      <c r="BM817" s="601" t="str">
        <f t="shared" si="1500"/>
        <v>N/A</v>
      </c>
      <c r="BN817" s="601" t="str">
        <f t="shared" si="1500"/>
        <v>N/A</v>
      </c>
      <c r="BO817" s="601" t="str">
        <f t="shared" si="1500"/>
        <v>N/A</v>
      </c>
      <c r="BP817" s="601" t="str">
        <f t="shared" si="1500"/>
        <v>N/A</v>
      </c>
      <c r="BQ817" s="601" t="str">
        <f t="shared" si="1500"/>
        <v>N/A</v>
      </c>
      <c r="BR817" s="603" t="str">
        <f t="shared" si="1500"/>
        <v>N/A</v>
      </c>
      <c r="BS817" s="349"/>
    </row>
    <row r="818" spans="1:71" s="24" customFormat="1" ht="15" hidden="1" outlineLevel="1">
      <c r="A818" s="259"/>
      <c r="B818" s="828"/>
      <c r="C818" s="277"/>
      <c r="D818" s="277"/>
      <c r="E818" s="828"/>
      <c r="F818" s="828"/>
      <c r="G818" s="828"/>
      <c r="H818" s="828"/>
      <c r="I818" s="828"/>
      <c r="J818" s="828"/>
      <c r="K818" s="828"/>
      <c r="L818" s="828"/>
      <c r="M818" s="828"/>
      <c r="N818" s="828"/>
      <c r="O818" s="828"/>
      <c r="P818" s="828"/>
      <c r="Q818" s="828"/>
      <c r="R818" s="828"/>
      <c r="S818" s="828"/>
      <c r="T818" s="828"/>
      <c r="U818" s="828"/>
      <c r="V818" s="828"/>
      <c r="W818" s="828"/>
      <c r="X818" s="828"/>
      <c r="Y818" s="828"/>
      <c r="Z818" s="828"/>
      <c r="AA818" s="828"/>
      <c r="AB818" s="828"/>
      <c r="AC818" s="828"/>
      <c r="AD818" s="828"/>
      <c r="AE818" s="828"/>
      <c r="AF818" s="828"/>
      <c r="AG818" s="828"/>
      <c r="AH818" s="828"/>
      <c r="AI818" s="828"/>
      <c r="AJ818" s="828"/>
      <c r="AK818" s="828"/>
      <c r="AL818" s="828"/>
      <c r="AM818" s="828"/>
      <c r="AN818" s="828"/>
      <c r="AO818" s="828"/>
      <c r="AP818" s="828"/>
      <c r="AQ818" s="828"/>
      <c r="AR818" s="828"/>
      <c r="AS818" s="828"/>
      <c r="AT818" s="828"/>
      <c r="AU818" s="828"/>
      <c r="AV818" s="828"/>
      <c r="AW818" s="828"/>
      <c r="AX818" s="828"/>
      <c r="AY818" s="828"/>
      <c r="AZ818" s="828"/>
      <c r="BA818" s="828"/>
      <c r="BB818" s="828"/>
      <c r="BC818" s="828"/>
      <c r="BD818" s="828"/>
      <c r="BE818" s="828"/>
      <c r="BF818" s="828"/>
      <c r="BG818" s="828"/>
      <c r="BH818" s="829"/>
      <c r="BI818" s="828"/>
      <c r="BJ818" s="828"/>
      <c r="BK818" s="828"/>
      <c r="BL818" s="828"/>
      <c r="BM818" s="828"/>
      <c r="BN818" s="828"/>
      <c r="BO818" s="828"/>
      <c r="BP818" s="828"/>
      <c r="BQ818" s="828"/>
      <c r="BR818" s="258"/>
      <c r="BS818" s="345"/>
    </row>
    <row r="819" spans="1:71" s="24" customFormat="1" ht="15" collapsed="1">
      <c r="A819" s="259" t="s">
        <v>576</v>
      </c>
      <c r="B819" s="828"/>
      <c r="C819" s="593">
        <f t="shared" si="1501" ref="C819:AH819">WORKDAY(INDEX(MO_Common_QEndDate,0,COLUMN()),-1)</f>
        <v>40177</v>
      </c>
      <c r="D819" s="593">
        <f t="shared" si="1501"/>
        <v>40542</v>
      </c>
      <c r="E819" s="594">
        <f t="shared" si="1501"/>
        <v>40907</v>
      </c>
      <c r="F819" s="594">
        <f t="shared" si="1501"/>
        <v>41271</v>
      </c>
      <c r="G819" s="594">
        <f t="shared" si="1501"/>
        <v>41638</v>
      </c>
      <c r="H819" s="594">
        <f t="shared" si="1501"/>
        <v>41726</v>
      </c>
      <c r="I819" s="594">
        <f t="shared" si="1501"/>
        <v>41817</v>
      </c>
      <c r="J819" s="594">
        <f t="shared" si="1501"/>
        <v>41911</v>
      </c>
      <c r="K819" s="594">
        <f t="shared" si="1501"/>
        <v>42003</v>
      </c>
      <c r="L819" s="594">
        <f t="shared" si="1501"/>
        <v>42003</v>
      </c>
      <c r="M819" s="594">
        <f t="shared" si="1501"/>
        <v>42093</v>
      </c>
      <c r="N819" s="594">
        <f t="shared" si="1501"/>
        <v>42184</v>
      </c>
      <c r="O819" s="594">
        <f t="shared" si="1501"/>
        <v>42276</v>
      </c>
      <c r="P819" s="594">
        <f t="shared" si="1501"/>
        <v>42368</v>
      </c>
      <c r="Q819" s="594">
        <f t="shared" si="1501"/>
        <v>42368</v>
      </c>
      <c r="R819" s="594">
        <f t="shared" si="1501"/>
        <v>42459</v>
      </c>
      <c r="S819" s="594">
        <f t="shared" si="1501"/>
        <v>42550</v>
      </c>
      <c r="T819" s="594">
        <f t="shared" si="1501"/>
        <v>42642</v>
      </c>
      <c r="U819" s="594">
        <f t="shared" si="1501"/>
        <v>42734</v>
      </c>
      <c r="V819" s="594">
        <f t="shared" si="1501"/>
        <v>42734</v>
      </c>
      <c r="W819" s="594">
        <f t="shared" si="1501"/>
        <v>42824</v>
      </c>
      <c r="X819" s="594">
        <f t="shared" si="1501"/>
        <v>42915</v>
      </c>
      <c r="Y819" s="594">
        <f t="shared" si="1501"/>
        <v>43007</v>
      </c>
      <c r="Z819" s="594">
        <f t="shared" si="1501"/>
        <v>43098</v>
      </c>
      <c r="AA819" s="594">
        <f t="shared" si="1501"/>
        <v>43098</v>
      </c>
      <c r="AB819" s="594">
        <f t="shared" si="1501"/>
        <v>43189</v>
      </c>
      <c r="AC819" s="594">
        <f t="shared" si="1501"/>
        <v>43280</v>
      </c>
      <c r="AD819" s="594">
        <f t="shared" si="1501"/>
        <v>43371</v>
      </c>
      <c r="AE819" s="594">
        <f t="shared" si="1501"/>
        <v>43462</v>
      </c>
      <c r="AF819" s="594">
        <f t="shared" si="1501"/>
        <v>43462</v>
      </c>
      <c r="AG819" s="594">
        <f t="shared" si="1501"/>
        <v>43553</v>
      </c>
      <c r="AH819" s="594">
        <f t="shared" si="1501"/>
        <v>43644</v>
      </c>
      <c r="AI819" s="594">
        <f t="shared" si="1502" ref="AI819:AV819">WORKDAY(INDEX(MO_Common_QEndDate,0,COLUMN()),-1)</f>
        <v>43735</v>
      </c>
      <c r="AJ819" s="594">
        <f t="shared" si="1502"/>
        <v>43829</v>
      </c>
      <c r="AK819" s="594">
        <f t="shared" si="1502"/>
        <v>43829</v>
      </c>
      <c r="AL819" s="594">
        <f t="shared" si="1502"/>
        <v>43920</v>
      </c>
      <c r="AM819" s="594">
        <f t="shared" si="1502"/>
        <v>44011</v>
      </c>
      <c r="AN819" s="594">
        <f t="shared" si="1502"/>
        <v>44103</v>
      </c>
      <c r="AO819" s="594">
        <f t="shared" si="1502"/>
        <v>44195</v>
      </c>
      <c r="AP819" s="594">
        <f t="shared" si="1502"/>
        <v>44195</v>
      </c>
      <c r="AQ819" s="594">
        <f t="shared" si="1502"/>
        <v>44285</v>
      </c>
      <c r="AR819" s="594">
        <f t="shared" si="1502"/>
        <v>44376</v>
      </c>
      <c r="AS819" s="594">
        <f t="shared" si="1502"/>
        <v>44468</v>
      </c>
      <c r="AT819" s="594">
        <f t="shared" si="1502"/>
        <v>44560</v>
      </c>
      <c r="AU819" s="594">
        <f t="shared" si="1502"/>
        <v>44560</v>
      </c>
      <c r="AV819" s="594">
        <f t="shared" si="1502"/>
        <v>44650</v>
      </c>
      <c r="AW819" s="594">
        <f t="shared" si="1503" ref="AW819:AZ819">WORKDAY(INDEX(MO_Common_QEndDate,0,COLUMN()),-1)</f>
        <v>44741</v>
      </c>
      <c r="AX819" s="594">
        <f t="shared" si="1503"/>
        <v>44833</v>
      </c>
      <c r="AY819" s="594">
        <f t="shared" si="1503"/>
        <v>44925</v>
      </c>
      <c r="AZ819" s="594">
        <f t="shared" si="1503"/>
        <v>44925</v>
      </c>
      <c r="BA819" s="594">
        <f t="shared" si="1504" ref="BA819:BR819">WORKDAY(INDEX(MO_Common_QEndDate,0,COLUMN()),-1)</f>
        <v>45015</v>
      </c>
      <c r="BB819" s="594">
        <f t="shared" si="1504"/>
        <v>45106</v>
      </c>
      <c r="BC819" s="594">
        <f t="shared" si="1504"/>
        <v>45198</v>
      </c>
      <c r="BD819" s="594">
        <f t="shared" si="1504"/>
        <v>45289</v>
      </c>
      <c r="BE819" s="594">
        <f t="shared" si="1504"/>
        <v>45289</v>
      </c>
      <c r="BF819" s="594">
        <f>WORKDAY(INDEX(MO_Common_QEndDate,0,COLUMN()),-1)</f>
        <v>45380</v>
      </c>
      <c r="BG819" s="594">
        <f>WORKDAY(INDEX(MO_Common_QEndDate,0,COLUMN()),-1)</f>
        <v>45471</v>
      </c>
      <c r="BH819" s="595">
        <f>WORKDAY(INDEX(MO_Common_QEndDate,0,COLUMN()),-1)</f>
        <v>45562</v>
      </c>
      <c r="BI819" s="594">
        <f t="shared" si="1504"/>
        <v>45656</v>
      </c>
      <c r="BJ819" s="594">
        <f t="shared" si="1504"/>
        <v>45656</v>
      </c>
      <c r="BK819" s="594">
        <f t="shared" si="1504"/>
        <v>45744</v>
      </c>
      <c r="BL819" s="594">
        <f t="shared" si="1504"/>
        <v>45835</v>
      </c>
      <c r="BM819" s="594">
        <f t="shared" si="1504"/>
        <v>45929</v>
      </c>
      <c r="BN819" s="594">
        <f t="shared" si="1504"/>
        <v>46021</v>
      </c>
      <c r="BO819" s="594">
        <f t="shared" si="1504"/>
        <v>46021</v>
      </c>
      <c r="BP819" s="594">
        <f t="shared" si="1504"/>
        <v>46386</v>
      </c>
      <c r="BQ819" s="594">
        <f t="shared" si="1504"/>
        <v>46751</v>
      </c>
      <c r="BR819" s="596">
        <f t="shared" si="1504"/>
        <v>47116</v>
      </c>
      <c r="BS819" s="345"/>
    </row>
    <row r="820" spans="1:71" s="24" customFormat="1" ht="15">
      <c r="A820" s="259" t="s">
        <v>577</v>
      </c>
      <c r="B820" s="828"/>
      <c r="C820" s="971">
        <v>50.26</v>
      </c>
      <c r="D820" s="971">
        <v>55.54</v>
      </c>
      <c r="E820" s="972">
        <v>59.17</v>
      </c>
      <c r="F820" s="972">
        <v>71.239999999999995</v>
      </c>
      <c r="G820" s="972">
        <v>90.28</v>
      </c>
      <c r="H820" s="972">
        <v>83.99</v>
      </c>
      <c r="I820" s="972">
        <v>93.92</v>
      </c>
      <c r="J820" s="972">
        <v>93.77</v>
      </c>
      <c r="K820" s="972">
        <v>106.93000000000001</v>
      </c>
      <c r="L820" s="972">
        <v>106.93000000000001</v>
      </c>
      <c r="M820" s="972">
        <v>109.64</v>
      </c>
      <c r="N820" s="972">
        <v>96.14</v>
      </c>
      <c r="O820" s="972">
        <v>99.47</v>
      </c>
      <c r="P820" s="972">
        <v>114.29000000000001</v>
      </c>
      <c r="Q820" s="972">
        <v>114.29000000000001</v>
      </c>
      <c r="R820" s="972">
        <v>117.43000000000001</v>
      </c>
      <c r="S820" s="972">
        <v>116.81</v>
      </c>
      <c r="T820" s="972">
        <v>113.87</v>
      </c>
      <c r="U820" s="972">
        <v>122.42</v>
      </c>
      <c r="V820" s="972">
        <v>122.42</v>
      </c>
      <c r="W820" s="972">
        <v>121.03</v>
      </c>
      <c r="X820" s="972">
        <v>126.39</v>
      </c>
      <c r="Y820" s="972">
        <v>122.52</v>
      </c>
      <c r="Z820" s="972">
        <v>135.63999999999999</v>
      </c>
      <c r="AA820" s="972">
        <v>135.63999999999999</v>
      </c>
      <c r="AB820" s="972">
        <v>138.86000000000001</v>
      </c>
      <c r="AC820" s="972">
        <v>122.34</v>
      </c>
      <c r="AD820" s="972">
        <v>129.71000000000001</v>
      </c>
      <c r="AE820" s="972">
        <v>118.23999999999999</v>
      </c>
      <c r="AF820" s="972">
        <v>118.23999999999999</v>
      </c>
      <c r="AG820" s="972">
        <v>137.16</v>
      </c>
      <c r="AH820" s="972">
        <v>149.52000000000001</v>
      </c>
      <c r="AI820" s="972">
        <v>148</v>
      </c>
      <c r="AJ820" s="972">
        <v>136.49000000000001</v>
      </c>
      <c r="AK820" s="972">
        <v>136.49000000000001</v>
      </c>
      <c r="AL820" s="972">
        <v>102.59</v>
      </c>
      <c r="AM820" s="972">
        <v>112.90000000000001</v>
      </c>
      <c r="AN820" s="972">
        <v>107.44</v>
      </c>
      <c r="AO820" s="972">
        <v>139.08000000000001</v>
      </c>
      <c r="AP820" s="972">
        <v>139.08000000000001</v>
      </c>
      <c r="AQ820" s="972">
        <v>154.03</v>
      </c>
      <c r="AR820" s="972">
        <v>149.52000000000001</v>
      </c>
      <c r="AS820" s="972">
        <v>154.88</v>
      </c>
      <c r="AT820" s="972">
        <v>156.81</v>
      </c>
      <c r="AU820" s="972">
        <v>156.81</v>
      </c>
      <c r="AV820" s="972">
        <v>185.55</v>
      </c>
      <c r="AW820" s="972">
        <v>165.80</v>
      </c>
      <c r="AX820" s="972">
        <v>154.68000000000001</v>
      </c>
      <c r="AY820" s="972">
        <v>187.49</v>
      </c>
      <c r="AZ820" s="972">
        <v>187.49</v>
      </c>
      <c r="BA820" s="972">
        <v>170.82</v>
      </c>
      <c r="BB820" s="972">
        <v>170.99</v>
      </c>
      <c r="BC820" s="972">
        <v>163.31</v>
      </c>
      <c r="BD820" s="972">
        <v>190.49</v>
      </c>
      <c r="BE820" s="972">
        <v>190.49</v>
      </c>
      <c r="BF820" s="972">
        <v>230.14</v>
      </c>
      <c r="BG820" s="972">
        <v>203.34</v>
      </c>
      <c r="BH820" s="973">
        <v>236.11</v>
      </c>
      <c r="BI820" s="598"/>
      <c r="BJ820" s="598"/>
      <c r="BK820" s="598"/>
      <c r="BL820" s="598"/>
      <c r="BM820" s="598"/>
      <c r="BN820" s="598"/>
      <c r="BO820" s="598"/>
      <c r="BP820" s="598"/>
      <c r="BQ820" s="598"/>
      <c r="BR820" s="599"/>
      <c r="BS820" s="345"/>
    </row>
    <row r="821" spans="1:71" s="24" customFormat="1" ht="15">
      <c r="A821" s="259" t="s">
        <v>578</v>
      </c>
      <c r="B821" s="828"/>
      <c r="C821" s="968">
        <v>1</v>
      </c>
      <c r="D821" s="968">
        <v>1</v>
      </c>
      <c r="E821" s="969">
        <v>1</v>
      </c>
      <c r="F821" s="969">
        <v>1</v>
      </c>
      <c r="G821" s="969">
        <v>1</v>
      </c>
      <c r="H821" s="969">
        <v>1</v>
      </c>
      <c r="I821" s="969">
        <v>1</v>
      </c>
      <c r="J821" s="969">
        <v>1</v>
      </c>
      <c r="K821" s="969">
        <v>1</v>
      </c>
      <c r="L821" s="969">
        <v>1</v>
      </c>
      <c r="M821" s="969">
        <v>1</v>
      </c>
      <c r="N821" s="969">
        <v>1</v>
      </c>
      <c r="O821" s="969">
        <v>1</v>
      </c>
      <c r="P821" s="969">
        <v>1</v>
      </c>
      <c r="Q821" s="969">
        <v>1</v>
      </c>
      <c r="R821" s="969">
        <v>1</v>
      </c>
      <c r="S821" s="969">
        <v>1</v>
      </c>
      <c r="T821" s="969">
        <v>1</v>
      </c>
      <c r="U821" s="969">
        <v>1</v>
      </c>
      <c r="V821" s="969">
        <v>1</v>
      </c>
      <c r="W821" s="969">
        <v>1</v>
      </c>
      <c r="X821" s="969">
        <v>1</v>
      </c>
      <c r="Y821" s="969">
        <v>1</v>
      </c>
      <c r="Z821" s="969">
        <v>1</v>
      </c>
      <c r="AA821" s="969">
        <v>1</v>
      </c>
      <c r="AB821" s="969">
        <v>1</v>
      </c>
      <c r="AC821" s="969">
        <v>1</v>
      </c>
      <c r="AD821" s="969">
        <v>1</v>
      </c>
      <c r="AE821" s="969">
        <v>1</v>
      </c>
      <c r="AF821" s="969">
        <v>1</v>
      </c>
      <c r="AG821" s="969">
        <v>1</v>
      </c>
      <c r="AH821" s="969">
        <v>1</v>
      </c>
      <c r="AI821" s="969">
        <v>1</v>
      </c>
      <c r="AJ821" s="969">
        <v>1</v>
      </c>
      <c r="AK821" s="969">
        <v>1</v>
      </c>
      <c r="AL821" s="969">
        <v>1</v>
      </c>
      <c r="AM821" s="969">
        <v>1</v>
      </c>
      <c r="AN821" s="969">
        <v>1</v>
      </c>
      <c r="AO821" s="969">
        <v>1</v>
      </c>
      <c r="AP821" s="969">
        <v>1</v>
      </c>
      <c r="AQ821" s="969">
        <v>1</v>
      </c>
      <c r="AR821" s="969">
        <v>1</v>
      </c>
      <c r="AS821" s="969">
        <v>1</v>
      </c>
      <c r="AT821" s="969">
        <v>1</v>
      </c>
      <c r="AU821" s="969">
        <v>1</v>
      </c>
      <c r="AV821" s="969">
        <v>1</v>
      </c>
      <c r="AW821" s="969">
        <v>1</v>
      </c>
      <c r="AX821" s="969">
        <v>1</v>
      </c>
      <c r="AY821" s="969">
        <v>1</v>
      </c>
      <c r="AZ821" s="969">
        <v>1</v>
      </c>
      <c r="BA821" s="969">
        <v>1</v>
      </c>
      <c r="BB821" s="969">
        <v>1</v>
      </c>
      <c r="BC821" s="969">
        <v>1</v>
      </c>
      <c r="BD821" s="969">
        <v>1</v>
      </c>
      <c r="BE821" s="969">
        <v>1</v>
      </c>
      <c r="BF821" s="969">
        <v>1</v>
      </c>
      <c r="BG821" s="969">
        <v>1</v>
      </c>
      <c r="BH821" s="970">
        <v>1</v>
      </c>
      <c r="BI821" s="601"/>
      <c r="BJ821" s="601"/>
      <c r="BK821" s="601"/>
      <c r="BL821" s="601"/>
      <c r="BM821" s="601"/>
      <c r="BN821" s="601"/>
      <c r="BO821" s="601"/>
      <c r="BP821" s="601"/>
      <c r="BQ821" s="601"/>
      <c r="BR821" s="603"/>
      <c r="BS821" s="345"/>
    </row>
    <row r="822" spans="1:71" s="24" customFormat="1" ht="15">
      <c r="A822" s="604"/>
      <c r="B822" s="358"/>
      <c r="C822" s="605"/>
      <c r="D822" s="605"/>
      <c r="E822" s="606"/>
      <c r="F822" s="606"/>
      <c r="G822" s="606"/>
      <c r="H822" s="606"/>
      <c r="I822" s="606"/>
      <c r="J822" s="606"/>
      <c r="K822" s="606"/>
      <c r="L822" s="606"/>
      <c r="M822" s="606"/>
      <c r="N822" s="606"/>
      <c r="O822" s="606"/>
      <c r="P822" s="606"/>
      <c r="Q822" s="606"/>
      <c r="R822" s="606"/>
      <c r="S822" s="606"/>
      <c r="T822" s="606"/>
      <c r="U822" s="606"/>
      <c r="V822" s="606"/>
      <c r="W822" s="606"/>
      <c r="X822" s="606"/>
      <c r="Y822" s="606"/>
      <c r="Z822" s="606"/>
      <c r="AA822" s="606"/>
      <c r="AB822" s="606"/>
      <c r="AC822" s="606"/>
      <c r="AD822" s="606"/>
      <c r="AE822" s="606"/>
      <c r="AF822" s="606"/>
      <c r="AG822" s="606"/>
      <c r="AH822" s="606"/>
      <c r="AI822" s="606"/>
      <c r="AJ822" s="606"/>
      <c r="AK822" s="606"/>
      <c r="AL822" s="606"/>
      <c r="AM822" s="606"/>
      <c r="AN822" s="606"/>
      <c r="AO822" s="606"/>
      <c r="AP822" s="606"/>
      <c r="AQ822" s="606"/>
      <c r="AR822" s="606"/>
      <c r="AS822" s="606"/>
      <c r="AT822" s="606"/>
      <c r="AU822" s="606"/>
      <c r="AV822" s="606"/>
      <c r="AW822" s="606"/>
      <c r="AX822" s="606"/>
      <c r="AY822" s="606"/>
      <c r="AZ822" s="606"/>
      <c r="BA822" s="606"/>
      <c r="BB822" s="606"/>
      <c r="BC822" s="606"/>
      <c r="BD822" s="606"/>
      <c r="BE822" s="606"/>
      <c r="BF822" s="606"/>
      <c r="BG822" s="606"/>
      <c r="BH822" s="607"/>
      <c r="BI822" s="606"/>
      <c r="BJ822" s="606"/>
      <c r="BK822" s="606"/>
      <c r="BL822" s="606"/>
      <c r="BM822" s="606"/>
      <c r="BN822" s="606"/>
      <c r="BO822" s="606"/>
      <c r="BP822" s="606"/>
      <c r="BQ822" s="606"/>
      <c r="BR822" s="608"/>
      <c r="BS822" s="345"/>
    </row>
    <row r="823" spans="1:71" ht="15">
      <c r="A823" s="521"/>
      <c r="B823" s="521"/>
      <c r="C823" s="522"/>
      <c r="D823" s="522"/>
      <c r="E823" s="522"/>
      <c r="F823" s="522"/>
      <c r="G823" s="522"/>
      <c r="H823" s="522"/>
      <c r="I823" s="522"/>
      <c r="J823" s="522"/>
      <c r="K823" s="522"/>
      <c r="L823" s="522"/>
      <c r="M823" s="522"/>
      <c r="N823" s="522"/>
      <c r="O823" s="522"/>
      <c r="P823" s="522"/>
      <c r="Q823" s="522"/>
      <c r="R823" s="522"/>
      <c r="S823" s="522"/>
      <c r="T823" s="522"/>
      <c r="U823" s="522"/>
      <c r="V823" s="522"/>
      <c r="W823" s="522"/>
      <c r="X823" s="522"/>
      <c r="Y823" s="522"/>
      <c r="Z823" s="522"/>
      <c r="AA823" s="522"/>
      <c r="AB823" s="522"/>
      <c r="AC823" s="522"/>
      <c r="AD823" s="522"/>
      <c r="AE823" s="522"/>
      <c r="AF823" s="522"/>
      <c r="AG823" s="522"/>
      <c r="AH823" s="522"/>
      <c r="AI823" s="522"/>
      <c r="AJ823" s="522"/>
      <c r="AK823" s="522"/>
      <c r="AL823" s="522"/>
      <c r="AM823" s="522"/>
      <c r="AN823" s="522"/>
      <c r="AO823" s="522"/>
      <c r="AP823" s="522"/>
      <c r="AQ823" s="522"/>
      <c r="AR823" s="522"/>
      <c r="AS823" s="522"/>
      <c r="AT823" s="522"/>
      <c r="AU823" s="522"/>
      <c r="AV823" s="522"/>
      <c r="AW823" s="522"/>
      <c r="AX823" s="522"/>
      <c r="AY823" s="522"/>
      <c r="AZ823" s="522"/>
      <c r="BA823" s="522"/>
      <c r="BB823" s="522"/>
      <c r="BC823" s="522"/>
      <c r="BD823" s="522"/>
      <c r="BE823" s="522"/>
      <c r="BF823" s="522"/>
      <c r="BG823" s="522"/>
      <c r="BH823" s="562"/>
      <c r="BI823" s="522"/>
      <c r="BJ823" s="522"/>
      <c r="BK823" s="522"/>
      <c r="BL823" s="522"/>
      <c r="BM823" s="522"/>
      <c r="BN823" s="522"/>
      <c r="BO823" s="522"/>
      <c r="BP823" s="522"/>
      <c r="BQ823" s="522"/>
      <c r="BR823" s="522"/>
      <c r="BS823" s="262"/>
    </row>
    <row r="824" spans="1:71" s="24" customFormat="1" ht="15">
      <c r="A824" s="260" t="s">
        <v>307</v>
      </c>
      <c r="B824" s="278"/>
      <c r="C824" s="828"/>
      <c r="D824" s="828"/>
      <c r="E824" s="828"/>
      <c r="F824" s="828"/>
      <c r="G824" s="828"/>
      <c r="H824" s="828"/>
      <c r="I824" s="828"/>
      <c r="J824" s="828"/>
      <c r="K824" s="828"/>
      <c r="L824" s="828"/>
      <c r="M824" s="828"/>
      <c r="N824" s="828"/>
      <c r="O824" s="828"/>
      <c r="P824" s="828"/>
      <c r="Q824" s="828"/>
      <c r="R824" s="828"/>
      <c r="S824" s="828"/>
      <c r="T824" s="828"/>
      <c r="U824" s="828"/>
      <c r="V824" s="828"/>
      <c r="W824" s="828"/>
      <c r="X824" s="828"/>
      <c r="Y824" s="828"/>
      <c r="Z824" s="828"/>
      <c r="AA824" s="828"/>
      <c r="AB824" s="828"/>
      <c r="AC824" s="828"/>
      <c r="AD824" s="828"/>
      <c r="AE824" s="828"/>
      <c r="AF824" s="828"/>
      <c r="AG824" s="828"/>
      <c r="AH824" s="828"/>
      <c r="AI824" s="828"/>
      <c r="AJ824" s="828"/>
      <c r="AK824" s="828"/>
      <c r="AL824" s="828"/>
      <c r="AM824" s="828"/>
      <c r="AN824" s="828"/>
      <c r="AO824" s="828"/>
      <c r="AP824" s="828"/>
      <c r="AQ824" s="828"/>
      <c r="AR824" s="828"/>
      <c r="AS824" s="828"/>
      <c r="AT824" s="828"/>
      <c r="AU824" s="828"/>
      <c r="AV824" s="828"/>
      <c r="AW824" s="828"/>
      <c r="AX824" s="828"/>
      <c r="AY824" s="828"/>
      <c r="AZ824" s="828"/>
      <c r="BA824" s="828"/>
      <c r="BB824" s="828"/>
      <c r="BC824" s="828"/>
      <c r="BD824" s="828"/>
      <c r="BE824" s="828"/>
      <c r="BF824" s="828"/>
      <c r="BG824" s="828"/>
      <c r="BH824" s="829"/>
      <c r="BI824" s="828"/>
      <c r="BJ824" s="828"/>
      <c r="BK824" s="828"/>
      <c r="BL824" s="828"/>
      <c r="BM824" s="828"/>
      <c r="BN824" s="828"/>
      <c r="BO824" s="828"/>
      <c r="BP824" s="828"/>
      <c r="BQ824" s="828"/>
      <c r="BR824" s="828"/>
      <c r="BS824" s="833"/>
    </row>
    <row r="825" spans="1:71" s="288" customFormat="1" ht="15">
      <c r="A825" s="294" t="s">
        <v>308</v>
      </c>
      <c r="B825" s="284">
        <f>FP.LastPrice</f>
        <v>242.95</v>
      </c>
      <c r="C825" s="284"/>
      <c r="D825" s="284"/>
      <c r="E825" s="284"/>
      <c r="F825" s="284"/>
      <c r="G825" s="284"/>
      <c r="H825" s="284"/>
      <c r="I825" s="284"/>
      <c r="J825" s="284"/>
      <c r="K825" s="284"/>
      <c r="L825" s="284"/>
      <c r="M825" s="284"/>
      <c r="N825" s="284"/>
      <c r="O825" s="284"/>
      <c r="P825" s="284"/>
      <c r="Q825" s="284"/>
      <c r="R825" s="284"/>
      <c r="S825" s="284"/>
      <c r="T825" s="284"/>
      <c r="U825" s="284"/>
      <c r="V825" s="284"/>
      <c r="W825" s="284"/>
      <c r="X825" s="284"/>
      <c r="Y825" s="284"/>
      <c r="Z825" s="284"/>
      <c r="AA825" s="284"/>
      <c r="AB825" s="284"/>
      <c r="AC825" s="284"/>
      <c r="AD825" s="284"/>
      <c r="AE825" s="284"/>
      <c r="AF825" s="284"/>
      <c r="AG825" s="284"/>
      <c r="AH825" s="284"/>
      <c r="AI825" s="284"/>
      <c r="AJ825" s="284"/>
      <c r="AK825" s="284"/>
      <c r="AL825" s="284"/>
      <c r="AM825" s="284"/>
      <c r="AN825" s="284"/>
      <c r="AO825" s="284"/>
      <c r="AP825" s="284"/>
      <c r="AQ825" s="284"/>
      <c r="AR825" s="284"/>
      <c r="AS825" s="284"/>
      <c r="AT825" s="284"/>
      <c r="AU825" s="284"/>
      <c r="AV825" s="284"/>
      <c r="AW825" s="284"/>
      <c r="AX825" s="284"/>
      <c r="AY825" s="284"/>
      <c r="AZ825" s="284"/>
      <c r="BA825" s="284"/>
      <c r="BB825" s="284"/>
      <c r="BC825" s="284"/>
      <c r="BD825" s="284"/>
      <c r="BE825" s="284"/>
      <c r="BF825" s="284"/>
      <c r="BG825" s="284"/>
      <c r="BH825" s="561"/>
      <c r="BI825" s="284"/>
      <c r="BJ825" s="284"/>
      <c r="BK825" s="284"/>
      <c r="BL825" s="284"/>
      <c r="BM825" s="284"/>
      <c r="BN825" s="284"/>
      <c r="BO825" s="284"/>
      <c r="BP825" s="284"/>
      <c r="BQ825" s="284"/>
      <c r="BR825" s="284"/>
      <c r="BS825" s="287"/>
    </row>
    <row r="826" spans="1:71" ht="15">
      <c r="A826" s="263" t="s">
        <v>309</v>
      </c>
      <c r="B826" s="565">
        <f>FP.LastPriceDate</f>
        <v>45581</v>
      </c>
      <c r="C826" s="432"/>
      <c r="D826" s="432"/>
      <c r="E826" s="432"/>
      <c r="F826" s="432"/>
      <c r="G826" s="432"/>
      <c r="H826" s="432"/>
      <c r="I826" s="432"/>
      <c r="J826" s="432"/>
      <c r="K826" s="432"/>
      <c r="L826" s="432"/>
      <c r="M826" s="432"/>
      <c r="N826" s="432"/>
      <c r="O826" s="432"/>
      <c r="P826" s="432"/>
      <c r="Q826" s="432"/>
      <c r="R826" s="432"/>
      <c r="S826" s="432"/>
      <c r="T826" s="432"/>
      <c r="U826" s="432"/>
      <c r="V826" s="432"/>
      <c r="W826" s="432"/>
      <c r="X826" s="432"/>
      <c r="Y826" s="432"/>
      <c r="Z826" s="432"/>
      <c r="AA826" s="432"/>
      <c r="AB826" s="432"/>
      <c r="AC826" s="432"/>
      <c r="AD826" s="432"/>
      <c r="AE826" s="432"/>
      <c r="AF826" s="432"/>
      <c r="AG826" s="432"/>
      <c r="AH826" s="432"/>
      <c r="AI826" s="432"/>
      <c r="AJ826" s="432"/>
      <c r="AK826" s="432"/>
      <c r="AL826" s="432"/>
      <c r="AM826" s="432"/>
      <c r="AN826" s="432"/>
      <c r="AO826" s="432"/>
      <c r="AP826" s="432"/>
      <c r="AQ826" s="432"/>
      <c r="AR826" s="432"/>
      <c r="AS826" s="432"/>
      <c r="AT826" s="432"/>
      <c r="AU826" s="432"/>
      <c r="AV826" s="432"/>
      <c r="AW826" s="432"/>
      <c r="AX826" s="432"/>
      <c r="AY826" s="432"/>
      <c r="AZ826" s="432"/>
      <c r="BA826" s="432"/>
      <c r="BB826" s="432"/>
      <c r="BC826" s="432"/>
      <c r="BD826" s="432"/>
      <c r="BE826" s="432"/>
      <c r="BF826" s="432"/>
      <c r="BG826" s="432"/>
      <c r="BH826" s="552"/>
      <c r="BI826" s="432"/>
      <c r="BJ826" s="432"/>
      <c r="BK826" s="432"/>
      <c r="BL826" s="432"/>
      <c r="BM826" s="432"/>
      <c r="BN826" s="432"/>
      <c r="BO826" s="432"/>
      <c r="BP826" s="432"/>
      <c r="BQ826" s="432"/>
      <c r="BR826" s="432"/>
      <c r="BS826" s="262"/>
    </row>
    <row r="827" spans="1:71" ht="15">
      <c r="A827" s="263" t="s">
        <v>310</v>
      </c>
      <c r="B827" s="262" t="b">
        <f>IF(FP.RealTimeToggle="ON",TRUE,FALSE)</f>
        <v>0</v>
      </c>
      <c r="C827" s="432"/>
      <c r="D827" s="432"/>
      <c r="E827" s="432"/>
      <c r="F827" s="432"/>
      <c r="G827" s="432"/>
      <c r="H827" s="432"/>
      <c r="I827" s="432"/>
      <c r="J827" s="432"/>
      <c r="K827" s="432"/>
      <c r="L827" s="432"/>
      <c r="M827" s="432"/>
      <c r="N827" s="432"/>
      <c r="O827" s="432"/>
      <c r="P827" s="432"/>
      <c r="Q827" s="432"/>
      <c r="R827" s="432"/>
      <c r="S827" s="432"/>
      <c r="T827" s="432"/>
      <c r="U827" s="432"/>
      <c r="V827" s="432"/>
      <c r="W827" s="432"/>
      <c r="X827" s="432"/>
      <c r="Y827" s="432"/>
      <c r="Z827" s="432"/>
      <c r="AA827" s="432"/>
      <c r="AB827" s="432"/>
      <c r="AC827" s="432"/>
      <c r="AD827" s="432"/>
      <c r="AE827" s="432"/>
      <c r="AF827" s="432"/>
      <c r="AG827" s="432"/>
      <c r="AH827" s="432"/>
      <c r="AI827" s="432"/>
      <c r="AJ827" s="432"/>
      <c r="AK827" s="432"/>
      <c r="AL827" s="432"/>
      <c r="AM827" s="432"/>
      <c r="AN827" s="432"/>
      <c r="AO827" s="432"/>
      <c r="AP827" s="432"/>
      <c r="AQ827" s="432"/>
      <c r="AR827" s="432"/>
      <c r="AS827" s="432"/>
      <c r="AT827" s="432"/>
      <c r="AU827" s="432"/>
      <c r="AV827" s="432"/>
      <c r="AW827" s="432"/>
      <c r="AX827" s="432"/>
      <c r="AY827" s="432"/>
      <c r="AZ827" s="432"/>
      <c r="BA827" s="432"/>
      <c r="BB827" s="432"/>
      <c r="BC827" s="432"/>
      <c r="BD827" s="432"/>
      <c r="BE827" s="432"/>
      <c r="BF827" s="432"/>
      <c r="BG827" s="432"/>
      <c r="BH827" s="552"/>
      <c r="BI827" s="432"/>
      <c r="BJ827" s="432"/>
      <c r="BK827" s="432"/>
      <c r="BL827" s="432"/>
      <c r="BM827" s="432"/>
      <c r="BN827" s="432"/>
      <c r="BO827" s="432"/>
      <c r="BP827" s="432"/>
      <c r="BQ827" s="432"/>
      <c r="BR827" s="432"/>
      <c r="BS827" s="262"/>
    </row>
    <row r="828" spans="1:71" s="288" customFormat="1" ht="15">
      <c r="A828" s="294" t="s">
        <v>311</v>
      </c>
      <c r="B828" s="287" t="str">
        <f ca="1">IFERROR(CHOOSE(MO.DataSourceIndex,BDP(MO.Ticker.Bloomberg&amp;" EQUITY","LAST_PRICE"),CIQ(MO.Ticker.CapIQ,"IQ_LASTSALEPRICE"),FDS(MO.Ticker.FactSet,"FG_PRICE(NOW)"),_xll.TR(MO.Ticker.Thomson,"TRDPRC_1")),"N/A")</f>
        <v>N/A</v>
      </c>
      <c r="C828" s="284"/>
      <c r="D828" s="284"/>
      <c r="E828" s="284"/>
      <c r="F828" s="284"/>
      <c r="G828" s="284"/>
      <c r="H828" s="284"/>
      <c r="I828" s="284"/>
      <c r="J828" s="284"/>
      <c r="K828" s="284"/>
      <c r="L828" s="284"/>
      <c r="M828" s="284"/>
      <c r="N828" s="284"/>
      <c r="O828" s="284"/>
      <c r="P828" s="284"/>
      <c r="Q828" s="284"/>
      <c r="R828" s="284"/>
      <c r="S828" s="284"/>
      <c r="T828" s="284"/>
      <c r="U828" s="284"/>
      <c r="V828" s="284"/>
      <c r="W828" s="284"/>
      <c r="X828" s="284"/>
      <c r="Y828" s="284"/>
      <c r="Z828" s="284"/>
      <c r="AA828" s="284"/>
      <c r="AB828" s="284"/>
      <c r="AC828" s="284"/>
      <c r="AD828" s="284"/>
      <c r="AE828" s="284"/>
      <c r="AF828" s="284"/>
      <c r="AG828" s="284"/>
      <c r="AH828" s="284"/>
      <c r="AI828" s="284"/>
      <c r="AJ828" s="284"/>
      <c r="AK828" s="284"/>
      <c r="AL828" s="284"/>
      <c r="AM828" s="284"/>
      <c r="AN828" s="284"/>
      <c r="AO828" s="284"/>
      <c r="AP828" s="284"/>
      <c r="AQ828" s="284"/>
      <c r="AR828" s="284"/>
      <c r="AS828" s="284"/>
      <c r="AT828" s="284"/>
      <c r="AU828" s="284"/>
      <c r="AV828" s="284"/>
      <c r="AW828" s="284"/>
      <c r="AX828" s="284"/>
      <c r="AY828" s="284"/>
      <c r="AZ828" s="284"/>
      <c r="BA828" s="284"/>
      <c r="BB828" s="284"/>
      <c r="BC828" s="284"/>
      <c r="BD828" s="284"/>
      <c r="BE828" s="284"/>
      <c r="BF828" s="284"/>
      <c r="BG828" s="284"/>
      <c r="BH828" s="561"/>
      <c r="BI828" s="284"/>
      <c r="BJ828" s="284"/>
      <c r="BK828" s="284"/>
      <c r="BL828" s="284"/>
      <c r="BM828" s="284"/>
      <c r="BN828" s="284"/>
      <c r="BO828" s="284"/>
      <c r="BP828" s="284"/>
      <c r="BQ828" s="284"/>
      <c r="BR828" s="284"/>
      <c r="BS828" s="287"/>
    </row>
    <row r="829" spans="1:71" s="288" customFormat="1" ht="15">
      <c r="A829" s="294" t="s">
        <v>594</v>
      </c>
      <c r="B829" s="287" t="b">
        <f>OR(AND(OR(EXACT(HP.TradeCurrency.HardCoded,"GBp"),EXACT(HP.TradeCurrency.HardCoded,"GBX")),EXACT(HP.ReportCurrency,"GBP")),AND(OR(EXACT(HP.TradeCurrency.HardCoded,"ZAc"),EXACT(HP.TradeCurrency.HardCoded,"ZAC")),EXACT(HP.ReportCurrency,"ZAR")))</f>
        <v>0</v>
      </c>
      <c r="C829" s="284"/>
      <c r="D829" s="284"/>
      <c r="E829" s="284"/>
      <c r="F829" s="284"/>
      <c r="G829" s="284"/>
      <c r="H829" s="284"/>
      <c r="I829" s="284"/>
      <c r="J829" s="284"/>
      <c r="K829" s="284"/>
      <c r="L829" s="284"/>
      <c r="M829" s="284"/>
      <c r="N829" s="284"/>
      <c r="O829" s="284"/>
      <c r="P829" s="284"/>
      <c r="Q829" s="284"/>
      <c r="R829" s="284"/>
      <c r="S829" s="284"/>
      <c r="T829" s="284"/>
      <c r="U829" s="284"/>
      <c r="V829" s="284"/>
      <c r="W829" s="284"/>
      <c r="X829" s="284"/>
      <c r="Y829" s="284"/>
      <c r="Z829" s="284"/>
      <c r="AA829" s="284"/>
      <c r="AB829" s="284"/>
      <c r="AC829" s="284"/>
      <c r="AD829" s="284"/>
      <c r="AE829" s="284"/>
      <c r="AF829" s="284"/>
      <c r="AG829" s="284"/>
      <c r="AH829" s="284"/>
      <c r="AI829" s="284"/>
      <c r="AJ829" s="284"/>
      <c r="AK829" s="284"/>
      <c r="AL829" s="284"/>
      <c r="AM829" s="284"/>
      <c r="AN829" s="284"/>
      <c r="AO829" s="284"/>
      <c r="AP829" s="284"/>
      <c r="AQ829" s="284"/>
      <c r="AR829" s="284"/>
      <c r="AS829" s="284"/>
      <c r="AT829" s="284"/>
      <c r="AU829" s="284"/>
      <c r="AV829" s="284"/>
      <c r="AW829" s="284"/>
      <c r="AX829" s="284"/>
      <c r="AY829" s="284"/>
      <c r="AZ829" s="284"/>
      <c r="BA829" s="284"/>
      <c r="BB829" s="284"/>
      <c r="BC829" s="284"/>
      <c r="BD829" s="284"/>
      <c r="BE829" s="284"/>
      <c r="BF829" s="284"/>
      <c r="BG829" s="284"/>
      <c r="BH829" s="561"/>
      <c r="BI829" s="284"/>
      <c r="BJ829" s="284"/>
      <c r="BK829" s="284"/>
      <c r="BL829" s="284"/>
      <c r="BM829" s="284"/>
      <c r="BN829" s="284"/>
      <c r="BO829" s="284"/>
      <c r="BP829" s="284"/>
      <c r="BQ829" s="284"/>
      <c r="BR829" s="284"/>
      <c r="BS829" s="287"/>
    </row>
    <row r="830" spans="1:71" s="288" customFormat="1" ht="15">
      <c r="A830" s="294" t="s">
        <v>312</v>
      </c>
      <c r="B830" s="287" t="str">
        <f ca="1">IFERROR(CHOOSE(MO.DataSourceIndex,BDP(HP.Ticker&amp;" Equity","CRNCY"),CIQ(HP.Ticker,"IQ_TRADING_CURRENCY"),FDS(HP.Ticker,"P_CURRENCY(""ISO"")"),_xll.TR(HP.Ticker,"Currency")),HP.TradeCurrency.HardCoded)</f>
        <v>USD</v>
      </c>
      <c r="C830" s="284"/>
      <c r="D830" s="284"/>
      <c r="E830" s="284"/>
      <c r="F830" s="284"/>
      <c r="G830" s="284"/>
      <c r="H830" s="284"/>
      <c r="I830" s="284"/>
      <c r="J830" s="284"/>
      <c r="K830" s="284"/>
      <c r="L830" s="284"/>
      <c r="M830" s="284"/>
      <c r="N830" s="284"/>
      <c r="O830" s="284"/>
      <c r="P830" s="284"/>
      <c r="Q830" s="284"/>
      <c r="R830" s="284"/>
      <c r="S830" s="284"/>
      <c r="T830" s="284"/>
      <c r="U830" s="284"/>
      <c r="V830" s="284"/>
      <c r="W830" s="284"/>
      <c r="X830" s="284"/>
      <c r="Y830" s="284"/>
      <c r="Z830" s="284"/>
      <c r="AA830" s="284"/>
      <c r="AB830" s="284"/>
      <c r="AC830" s="284"/>
      <c r="AD830" s="284"/>
      <c r="AE830" s="284"/>
      <c r="AF830" s="284"/>
      <c r="AG830" s="284"/>
      <c r="AH830" s="284"/>
      <c r="AI830" s="284"/>
      <c r="AJ830" s="284"/>
      <c r="AK830" s="284"/>
      <c r="AL830" s="284"/>
      <c r="AM830" s="284"/>
      <c r="AN830" s="284"/>
      <c r="AO830" s="284"/>
      <c r="AP830" s="284"/>
      <c r="AQ830" s="284"/>
      <c r="AR830" s="284"/>
      <c r="AS830" s="284"/>
      <c r="AT830" s="284"/>
      <c r="AU830" s="284"/>
      <c r="AV830" s="284"/>
      <c r="AW830" s="284"/>
      <c r="AX830" s="284"/>
      <c r="AY830" s="284"/>
      <c r="AZ830" s="284"/>
      <c r="BA830" s="284"/>
      <c r="BB830" s="284"/>
      <c r="BC830" s="284"/>
      <c r="BD830" s="284"/>
      <c r="BE830" s="284"/>
      <c r="BF830" s="284"/>
      <c r="BG830" s="284"/>
      <c r="BH830" s="561"/>
      <c r="BI830" s="284"/>
      <c r="BJ830" s="284"/>
      <c r="BK830" s="284"/>
      <c r="BL830" s="284"/>
      <c r="BM830" s="284"/>
      <c r="BN830" s="284"/>
      <c r="BO830" s="284"/>
      <c r="BP830" s="284"/>
      <c r="BQ830" s="284"/>
      <c r="BR830" s="284"/>
      <c r="BS830" s="287"/>
    </row>
    <row r="831" spans="1:71" s="288" customFormat="1" ht="15">
      <c r="A831" s="294" t="s">
        <v>313</v>
      </c>
      <c r="B831" s="966" t="s">
        <v>11</v>
      </c>
      <c r="C831" s="284"/>
      <c r="D831" s="284"/>
      <c r="E831" s="284"/>
      <c r="F831" s="284"/>
      <c r="G831" s="284"/>
      <c r="H831" s="284"/>
      <c r="I831" s="284"/>
      <c r="J831" s="284"/>
      <c r="K831" s="284"/>
      <c r="L831" s="284"/>
      <c r="M831" s="284"/>
      <c r="N831" s="284"/>
      <c r="O831" s="284"/>
      <c r="P831" s="284"/>
      <c r="Q831" s="284"/>
      <c r="R831" s="284"/>
      <c r="S831" s="284"/>
      <c r="T831" s="284"/>
      <c r="U831" s="284"/>
      <c r="V831" s="284"/>
      <c r="W831" s="284"/>
      <c r="X831" s="284"/>
      <c r="Y831" s="284"/>
      <c r="Z831" s="284"/>
      <c r="AA831" s="284"/>
      <c r="AB831" s="284"/>
      <c r="AC831" s="284"/>
      <c r="AD831" s="284"/>
      <c r="AE831" s="284"/>
      <c r="AF831" s="284"/>
      <c r="AG831" s="284"/>
      <c r="AH831" s="284"/>
      <c r="AI831" s="284"/>
      <c r="AJ831" s="284"/>
      <c r="AK831" s="284"/>
      <c r="AL831" s="284"/>
      <c r="AM831" s="284"/>
      <c r="AN831" s="284"/>
      <c r="AO831" s="284"/>
      <c r="AP831" s="284"/>
      <c r="AQ831" s="284"/>
      <c r="AR831" s="284"/>
      <c r="AS831" s="284"/>
      <c r="AT831" s="284"/>
      <c r="AU831" s="284"/>
      <c r="AV831" s="284"/>
      <c r="AW831" s="284"/>
      <c r="AX831" s="284"/>
      <c r="AY831" s="284"/>
      <c r="AZ831" s="284"/>
      <c r="BA831" s="284"/>
      <c r="BB831" s="284"/>
      <c r="BC831" s="284"/>
      <c r="BD831" s="284"/>
      <c r="BE831" s="284"/>
      <c r="BF831" s="284"/>
      <c r="BG831" s="284"/>
      <c r="BH831" s="561"/>
      <c r="BI831" s="284"/>
      <c r="BJ831" s="284"/>
      <c r="BK831" s="284"/>
      <c r="BL831" s="284"/>
      <c r="BM831" s="284"/>
      <c r="BN831" s="284"/>
      <c r="BO831" s="284"/>
      <c r="BP831" s="284"/>
      <c r="BQ831" s="284"/>
      <c r="BR831" s="284"/>
      <c r="BS831" s="287"/>
    </row>
    <row r="832" spans="1:71" s="288" customFormat="1" ht="15">
      <c r="A832" s="294" t="s">
        <v>314</v>
      </c>
      <c r="B832" s="966" t="s">
        <v>11</v>
      </c>
      <c r="C832" s="284"/>
      <c r="D832" s="284"/>
      <c r="E832" s="284"/>
      <c r="F832" s="284"/>
      <c r="G832" s="284"/>
      <c r="H832" s="284"/>
      <c r="I832" s="284"/>
      <c r="J832" s="284"/>
      <c r="K832" s="284"/>
      <c r="L832" s="284"/>
      <c r="M832" s="284"/>
      <c r="N832" s="284"/>
      <c r="O832" s="284"/>
      <c r="P832" s="284"/>
      <c r="Q832" s="284"/>
      <c r="R832" s="284"/>
      <c r="S832" s="284"/>
      <c r="T832" s="284"/>
      <c r="U832" s="284"/>
      <c r="V832" s="284"/>
      <c r="W832" s="284"/>
      <c r="X832" s="284"/>
      <c r="Y832" s="284"/>
      <c r="Z832" s="284"/>
      <c r="AA832" s="284"/>
      <c r="AB832" s="284"/>
      <c r="AC832" s="284"/>
      <c r="AD832" s="284"/>
      <c r="AE832" s="284"/>
      <c r="AF832" s="284"/>
      <c r="AG832" s="284"/>
      <c r="AH832" s="284"/>
      <c r="AI832" s="284"/>
      <c r="AJ832" s="284"/>
      <c r="AK832" s="284"/>
      <c r="AL832" s="284"/>
      <c r="AM832" s="284"/>
      <c r="AN832" s="284"/>
      <c r="AO832" s="284"/>
      <c r="AP832" s="284"/>
      <c r="AQ832" s="284"/>
      <c r="AR832" s="284"/>
      <c r="AS832" s="284"/>
      <c r="AT832" s="284"/>
      <c r="AU832" s="284"/>
      <c r="AV832" s="284"/>
      <c r="AW832" s="284"/>
      <c r="AX832" s="284"/>
      <c r="AY832" s="284"/>
      <c r="AZ832" s="284"/>
      <c r="BA832" s="284"/>
      <c r="BB832" s="284"/>
      <c r="BC832" s="284"/>
      <c r="BD832" s="284"/>
      <c r="BE832" s="284"/>
      <c r="BF832" s="284"/>
      <c r="BG832" s="284"/>
      <c r="BH832" s="561"/>
      <c r="BI832" s="284"/>
      <c r="BJ832" s="284"/>
      <c r="BK832" s="284"/>
      <c r="BL832" s="284"/>
      <c r="BM832" s="284"/>
      <c r="BN832" s="284"/>
      <c r="BO832" s="284"/>
      <c r="BP832" s="284"/>
      <c r="BQ832" s="284"/>
      <c r="BR832" s="284"/>
      <c r="BS832" s="287"/>
    </row>
    <row r="833" spans="1:71" s="288" customFormat="1" ht="15">
      <c r="A833" s="294" t="s">
        <v>315</v>
      </c>
      <c r="B833" s="291">
        <f ca="1">IF(EXACT(MO.ReportFX,HP.TradeCurrency),1,IF(OR(INDEX(MO_SPT_FXAverage,1,MO.MRFPColumnNumber+1)="N/A",ISERROR(INDEX(MO_SPT_FXAverage,1,MO.MRFPColumnNumber+1))),MO.MRFX.Hardcoded,INDEX(MO_SPT_FXAverage,1,MO.MRFPColumnNumber+1)))</f>
        <v>1</v>
      </c>
      <c r="C833" s="284"/>
      <c r="D833" s="284"/>
      <c r="E833" s="284"/>
      <c r="F833" s="284"/>
      <c r="G833" s="284"/>
      <c r="H833" s="284"/>
      <c r="I833" s="284"/>
      <c r="J833" s="284"/>
      <c r="K833" s="284"/>
      <c r="L833" s="284"/>
      <c r="M833" s="284"/>
      <c r="N833" s="284"/>
      <c r="O833" s="284"/>
      <c r="P833" s="284"/>
      <c r="Q833" s="284"/>
      <c r="R833" s="284"/>
      <c r="S833" s="284"/>
      <c r="T833" s="284"/>
      <c r="U833" s="284"/>
      <c r="V833" s="284"/>
      <c r="W833" s="284"/>
      <c r="X833" s="284"/>
      <c r="Y833" s="284"/>
      <c r="Z833" s="284"/>
      <c r="AA833" s="284"/>
      <c r="AB833" s="284"/>
      <c r="AC833" s="284"/>
      <c r="AD833" s="284"/>
      <c r="AE833" s="284"/>
      <c r="AF833" s="284"/>
      <c r="AG833" s="284"/>
      <c r="AH833" s="284"/>
      <c r="AI833" s="284"/>
      <c r="AJ833" s="284"/>
      <c r="AK833" s="284"/>
      <c r="AL833" s="284"/>
      <c r="AM833" s="284"/>
      <c r="AN833" s="284"/>
      <c r="AO833" s="284"/>
      <c r="AP833" s="284"/>
      <c r="AQ833" s="284"/>
      <c r="AR833" s="284"/>
      <c r="AS833" s="284"/>
      <c r="AT833" s="284"/>
      <c r="AU833" s="284"/>
      <c r="AV833" s="284"/>
      <c r="AW833" s="284"/>
      <c r="AX833" s="284"/>
      <c r="AY833" s="284"/>
      <c r="AZ833" s="284"/>
      <c r="BA833" s="284"/>
      <c r="BB833" s="284"/>
      <c r="BC833" s="284"/>
      <c r="BD833" s="284"/>
      <c r="BE833" s="284"/>
      <c r="BF833" s="284"/>
      <c r="BG833" s="284"/>
      <c r="BH833" s="561"/>
      <c r="BI833" s="284"/>
      <c r="BJ833" s="284"/>
      <c r="BK833" s="284"/>
      <c r="BL833" s="284"/>
      <c r="BM833" s="284"/>
      <c r="BN833" s="284"/>
      <c r="BO833" s="284"/>
      <c r="BP833" s="284"/>
      <c r="BQ833" s="284"/>
      <c r="BR833" s="284"/>
      <c r="BS833" s="287"/>
    </row>
    <row r="834" spans="1:71" s="288" customFormat="1" ht="15">
      <c r="A834" s="294" t="s">
        <v>316</v>
      </c>
      <c r="B834" s="969">
        <v>1</v>
      </c>
      <c r="C834" s="284"/>
      <c r="D834" s="284"/>
      <c r="E834" s="284"/>
      <c r="F834" s="284"/>
      <c r="G834" s="284"/>
      <c r="H834" s="284"/>
      <c r="I834" s="284"/>
      <c r="J834" s="284"/>
      <c r="K834" s="284"/>
      <c r="L834" s="284"/>
      <c r="M834" s="284"/>
      <c r="N834" s="284"/>
      <c r="O834" s="284"/>
      <c r="P834" s="284"/>
      <c r="Q834" s="284"/>
      <c r="R834" s="284"/>
      <c r="S834" s="284"/>
      <c r="T834" s="284"/>
      <c r="U834" s="284"/>
      <c r="V834" s="284"/>
      <c r="W834" s="284"/>
      <c r="X834" s="284"/>
      <c r="Y834" s="284"/>
      <c r="Z834" s="284"/>
      <c r="AA834" s="284"/>
      <c r="AB834" s="284"/>
      <c r="AC834" s="284"/>
      <c r="AD834" s="284"/>
      <c r="AE834" s="284"/>
      <c r="AF834" s="284"/>
      <c r="AG834" s="284"/>
      <c r="AH834" s="284"/>
      <c r="AI834" s="284"/>
      <c r="AJ834" s="284"/>
      <c r="AK834" s="284"/>
      <c r="AL834" s="284"/>
      <c r="AM834" s="284"/>
      <c r="AN834" s="284"/>
      <c r="AO834" s="284"/>
      <c r="AP834" s="284"/>
      <c r="AQ834" s="284"/>
      <c r="AR834" s="284"/>
      <c r="AS834" s="284"/>
      <c r="AT834" s="284"/>
      <c r="AU834" s="284"/>
      <c r="AV834" s="284"/>
      <c r="AW834" s="284"/>
      <c r="AX834" s="284"/>
      <c r="AY834" s="284"/>
      <c r="AZ834" s="284"/>
      <c r="BA834" s="284"/>
      <c r="BB834" s="284"/>
      <c r="BC834" s="284"/>
      <c r="BD834" s="284"/>
      <c r="BE834" s="284"/>
      <c r="BF834" s="284"/>
      <c r="BG834" s="284"/>
      <c r="BH834" s="561"/>
      <c r="BI834" s="284"/>
      <c r="BJ834" s="284"/>
      <c r="BK834" s="284"/>
      <c r="BL834" s="284"/>
      <c r="BM834" s="284"/>
      <c r="BN834" s="284"/>
      <c r="BO834" s="284"/>
      <c r="BP834" s="284"/>
      <c r="BQ834" s="284"/>
      <c r="BR834" s="284"/>
      <c r="BS834" s="287"/>
    </row>
    <row r="835" spans="1:71" s="261" customFormat="1" ht="15">
      <c r="A835" s="264" t="s">
        <v>317</v>
      </c>
      <c r="B835" s="265">
        <f>MATCH(MO.MRFP,MO_Common_ColumnHeader,0)</f>
        <v>60</v>
      </c>
      <c r="C835" s="210"/>
      <c r="D835" s="210"/>
      <c r="E835" s="210"/>
      <c r="F835" s="210"/>
      <c r="G835" s="210"/>
      <c r="H835" s="210"/>
      <c r="I835" s="210"/>
      <c r="J835" s="210"/>
      <c r="K835" s="210"/>
      <c r="L835" s="210"/>
      <c r="M835" s="210"/>
      <c r="N835" s="210"/>
      <c r="O835" s="210"/>
      <c r="P835" s="210"/>
      <c r="Q835" s="210"/>
      <c r="R835" s="210"/>
      <c r="S835" s="210"/>
      <c r="T835" s="210"/>
      <c r="U835" s="210"/>
      <c r="V835" s="210"/>
      <c r="W835" s="210"/>
      <c r="X835" s="210"/>
      <c r="Y835" s="210"/>
      <c r="Z835" s="210"/>
      <c r="AA835" s="210"/>
      <c r="AB835" s="210"/>
      <c r="AC835" s="210"/>
      <c r="AD835" s="210"/>
      <c r="AE835" s="210"/>
      <c r="AF835" s="210"/>
      <c r="AG835" s="210"/>
      <c r="AH835" s="210"/>
      <c r="AI835" s="210"/>
      <c r="AJ835" s="210"/>
      <c r="AK835" s="210"/>
      <c r="AL835" s="210"/>
      <c r="AM835" s="210"/>
      <c r="AN835" s="210"/>
      <c r="AO835" s="210"/>
      <c r="AP835" s="210"/>
      <c r="AQ835" s="210"/>
      <c r="AR835" s="210"/>
      <c r="AS835" s="210"/>
      <c r="AT835" s="210"/>
      <c r="AU835" s="210"/>
      <c r="AV835" s="210"/>
      <c r="AW835" s="210"/>
      <c r="AX835" s="210"/>
      <c r="AY835" s="210"/>
      <c r="AZ835" s="210"/>
      <c r="BA835" s="210"/>
      <c r="BB835" s="210"/>
      <c r="BC835" s="210"/>
      <c r="BD835" s="210"/>
      <c r="BE835" s="210"/>
      <c r="BF835" s="210"/>
      <c r="BG835" s="210"/>
      <c r="BH835" s="553"/>
      <c r="BI835" s="210"/>
      <c r="BJ835" s="210"/>
      <c r="BK835" s="210"/>
      <c r="BL835" s="210"/>
      <c r="BM835" s="210"/>
      <c r="BN835" s="210"/>
      <c r="BO835" s="210"/>
      <c r="BP835" s="210"/>
      <c r="BQ835" s="210"/>
      <c r="BR835" s="210"/>
      <c r="BS835" s="265"/>
    </row>
    <row r="836" spans="1:71" s="261" customFormat="1" ht="15">
      <c r="A836" s="264" t="s">
        <v>318</v>
      </c>
      <c r="B836" s="924" t="s">
        <v>669</v>
      </c>
      <c r="C836" s="210"/>
      <c r="D836" s="210"/>
      <c r="E836" s="210"/>
      <c r="F836" s="210"/>
      <c r="G836" s="210"/>
      <c r="H836" s="210"/>
      <c r="I836" s="210"/>
      <c r="J836" s="210"/>
      <c r="K836" s="210"/>
      <c r="L836" s="210"/>
      <c r="M836" s="210"/>
      <c r="N836" s="210"/>
      <c r="O836" s="210"/>
      <c r="P836" s="210"/>
      <c r="Q836" s="210"/>
      <c r="R836" s="210"/>
      <c r="S836" s="210"/>
      <c r="T836" s="210"/>
      <c r="U836" s="210"/>
      <c r="V836" s="210"/>
      <c r="W836" s="210"/>
      <c r="X836" s="210"/>
      <c r="Y836" s="210"/>
      <c r="Z836" s="210"/>
      <c r="AA836" s="210"/>
      <c r="AB836" s="210"/>
      <c r="AC836" s="210"/>
      <c r="AD836" s="210"/>
      <c r="AE836" s="210"/>
      <c r="AF836" s="210"/>
      <c r="AG836" s="210"/>
      <c r="AH836" s="210"/>
      <c r="AI836" s="210"/>
      <c r="AJ836" s="210"/>
      <c r="AK836" s="210"/>
      <c r="AL836" s="210"/>
      <c r="AM836" s="210"/>
      <c r="AN836" s="210"/>
      <c r="AO836" s="210"/>
      <c r="AP836" s="210"/>
      <c r="AQ836" s="210"/>
      <c r="AR836" s="210"/>
      <c r="AS836" s="210"/>
      <c r="AT836" s="210"/>
      <c r="AU836" s="210"/>
      <c r="AV836" s="210"/>
      <c r="AW836" s="210"/>
      <c r="AX836" s="210"/>
      <c r="AY836" s="210"/>
      <c r="AZ836" s="210"/>
      <c r="BA836" s="210"/>
      <c r="BB836" s="210"/>
      <c r="BC836" s="210"/>
      <c r="BD836" s="210"/>
      <c r="BE836" s="210"/>
      <c r="BF836" s="210"/>
      <c r="BG836" s="210"/>
      <c r="BH836" s="553"/>
      <c r="BI836" s="210"/>
      <c r="BJ836" s="210"/>
      <c r="BK836" s="210"/>
      <c r="BL836" s="210"/>
      <c r="BM836" s="210"/>
      <c r="BN836" s="210"/>
      <c r="BO836" s="210"/>
      <c r="BP836" s="210"/>
      <c r="BQ836" s="210"/>
      <c r="BR836" s="210"/>
      <c r="BS836" s="265"/>
    </row>
    <row r="837" spans="1:71" s="261" customFormat="1" ht="15">
      <c r="A837" s="264" t="s">
        <v>319</v>
      </c>
      <c r="B837" s="265" t="str">
        <f>"FY"&amp;RIGHT(MO.MRFP,4)</f>
        <v>FY2024</v>
      </c>
      <c r="C837" s="210"/>
      <c r="D837" s="210"/>
      <c r="E837" s="210"/>
      <c r="F837" s="210"/>
      <c r="G837" s="210"/>
      <c r="H837" s="210"/>
      <c r="I837" s="210"/>
      <c r="J837" s="210"/>
      <c r="K837" s="210"/>
      <c r="L837" s="210"/>
      <c r="M837" s="210"/>
      <c r="N837" s="210"/>
      <c r="O837" s="210"/>
      <c r="P837" s="210"/>
      <c r="Q837" s="210"/>
      <c r="R837" s="210"/>
      <c r="S837" s="210"/>
      <c r="T837" s="210"/>
      <c r="U837" s="210"/>
      <c r="V837" s="210"/>
      <c r="W837" s="210"/>
      <c r="X837" s="210"/>
      <c r="Y837" s="210"/>
      <c r="Z837" s="210"/>
      <c r="AA837" s="210"/>
      <c r="AB837" s="210"/>
      <c r="AC837" s="210"/>
      <c r="AD837" s="210"/>
      <c r="AE837" s="210"/>
      <c r="AF837" s="210"/>
      <c r="AG837" s="210"/>
      <c r="AH837" s="210"/>
      <c r="AI837" s="210"/>
      <c r="AJ837" s="210"/>
      <c r="AK837" s="210"/>
      <c r="AL837" s="210"/>
      <c r="AM837" s="210"/>
      <c r="AN837" s="210"/>
      <c r="AO837" s="210"/>
      <c r="AP837" s="210"/>
      <c r="AQ837" s="210"/>
      <c r="AR837" s="210"/>
      <c r="AS837" s="210"/>
      <c r="AT837" s="210"/>
      <c r="AU837" s="210"/>
      <c r="AV837" s="210"/>
      <c r="AW837" s="210"/>
      <c r="AX837" s="210"/>
      <c r="AY837" s="210"/>
      <c r="AZ837" s="210"/>
      <c r="BA837" s="210"/>
      <c r="BB837" s="210"/>
      <c r="BC837" s="210"/>
      <c r="BD837" s="210"/>
      <c r="BE837" s="210"/>
      <c r="BF837" s="210"/>
      <c r="BG837" s="210"/>
      <c r="BH837" s="553"/>
      <c r="BI837" s="210"/>
      <c r="BJ837" s="210"/>
      <c r="BK837" s="210"/>
      <c r="BL837" s="210"/>
      <c r="BM837" s="210"/>
      <c r="BN837" s="210"/>
      <c r="BO837" s="210"/>
      <c r="BP837" s="210"/>
      <c r="BQ837" s="210"/>
      <c r="BR837" s="210"/>
      <c r="BS837" s="265"/>
    </row>
    <row r="838" spans="1:71" s="261" customFormat="1" ht="15">
      <c r="A838" s="264" t="s">
        <v>354</v>
      </c>
      <c r="B838" s="265" t="str">
        <f>"FY"&amp;RIGHT(MO.MRFP,4)+IF(LEFT(MO.MRFP,2)="FY",1,0)</f>
        <v>FY2024</v>
      </c>
      <c r="C838" s="210"/>
      <c r="D838" s="210"/>
      <c r="E838" s="210"/>
      <c r="F838" s="210"/>
      <c r="G838" s="210"/>
      <c r="H838" s="210"/>
      <c r="I838" s="210"/>
      <c r="J838" s="210"/>
      <c r="K838" s="210"/>
      <c r="L838" s="210"/>
      <c r="M838" s="210"/>
      <c r="N838" s="210"/>
      <c r="O838" s="210"/>
      <c r="P838" s="210"/>
      <c r="Q838" s="210"/>
      <c r="R838" s="210"/>
      <c r="S838" s="210"/>
      <c r="T838" s="210"/>
      <c r="U838" s="210"/>
      <c r="V838" s="210"/>
      <c r="W838" s="210"/>
      <c r="X838" s="210"/>
      <c r="Y838" s="210"/>
      <c r="Z838" s="210"/>
      <c r="AA838" s="210"/>
      <c r="AB838" s="210"/>
      <c r="AC838" s="210"/>
      <c r="AD838" s="210"/>
      <c r="AE838" s="210"/>
      <c r="AF838" s="210"/>
      <c r="AG838" s="210"/>
      <c r="AH838" s="210"/>
      <c r="AI838" s="210"/>
      <c r="AJ838" s="210"/>
      <c r="AK838" s="210"/>
      <c r="AL838" s="210"/>
      <c r="AM838" s="210"/>
      <c r="AN838" s="210"/>
      <c r="AO838" s="210"/>
      <c r="AP838" s="210"/>
      <c r="AQ838" s="210"/>
      <c r="AR838" s="210"/>
      <c r="AS838" s="210"/>
      <c r="AT838" s="210"/>
      <c r="AU838" s="210"/>
      <c r="AV838" s="210"/>
      <c r="AW838" s="210"/>
      <c r="AX838" s="210"/>
      <c r="AY838" s="210"/>
      <c r="AZ838" s="210"/>
      <c r="BA838" s="210"/>
      <c r="BB838" s="210"/>
      <c r="BC838" s="210"/>
      <c r="BD838" s="210"/>
      <c r="BE838" s="210"/>
      <c r="BF838" s="210"/>
      <c r="BG838" s="210"/>
      <c r="BH838" s="553"/>
      <c r="BI838" s="210"/>
      <c r="BJ838" s="210"/>
      <c r="BK838" s="210"/>
      <c r="BL838" s="210"/>
      <c r="BM838" s="210"/>
      <c r="BN838" s="210"/>
      <c r="BO838" s="210"/>
      <c r="BP838" s="210"/>
      <c r="BQ838" s="210"/>
      <c r="BR838" s="210"/>
      <c r="BS838" s="265"/>
    </row>
    <row r="839" spans="1:71" s="261" customFormat="1" ht="15">
      <c r="A839" s="264" t="s">
        <v>593</v>
      </c>
      <c r="B839" s="265">
        <f>COUNTA(tb_KPIs)-1</f>
        <v>42</v>
      </c>
      <c r="C839" s="210"/>
      <c r="D839" s="210"/>
      <c r="E839" s="210"/>
      <c r="F839" s="210"/>
      <c r="G839" s="210"/>
      <c r="H839" s="210"/>
      <c r="I839" s="210"/>
      <c r="J839" s="210"/>
      <c r="K839" s="210"/>
      <c r="L839" s="210"/>
      <c r="M839" s="210"/>
      <c r="N839" s="210"/>
      <c r="O839" s="210"/>
      <c r="P839" s="210"/>
      <c r="Q839" s="210"/>
      <c r="R839" s="210"/>
      <c r="S839" s="210"/>
      <c r="T839" s="210"/>
      <c r="U839" s="210"/>
      <c r="V839" s="210"/>
      <c r="W839" s="210"/>
      <c r="X839" s="210"/>
      <c r="Y839" s="210"/>
      <c r="Z839" s="210"/>
      <c r="AA839" s="210"/>
      <c r="AB839" s="210"/>
      <c r="AC839" s="210"/>
      <c r="AD839" s="210"/>
      <c r="AE839" s="210"/>
      <c r="AF839" s="210"/>
      <c r="AG839" s="210"/>
      <c r="AH839" s="210"/>
      <c r="AI839" s="210"/>
      <c r="AJ839" s="210"/>
      <c r="AK839" s="210"/>
      <c r="AL839" s="210"/>
      <c r="AM839" s="210"/>
      <c r="AN839" s="210"/>
      <c r="AO839" s="210"/>
      <c r="AP839" s="210"/>
      <c r="AQ839" s="210"/>
      <c r="AR839" s="210"/>
      <c r="AS839" s="210"/>
      <c r="AT839" s="210"/>
      <c r="AU839" s="210"/>
      <c r="AV839" s="210"/>
      <c r="AW839" s="210"/>
      <c r="AX839" s="210"/>
      <c r="AY839" s="210"/>
      <c r="AZ839" s="210"/>
      <c r="BA839" s="210"/>
      <c r="BB839" s="210"/>
      <c r="BC839" s="210"/>
      <c r="BD839" s="210"/>
      <c r="BE839" s="210"/>
      <c r="BF839" s="210"/>
      <c r="BG839" s="210"/>
      <c r="BH839" s="553"/>
      <c r="BI839" s="210"/>
      <c r="BJ839" s="210"/>
      <c r="BK839" s="210"/>
      <c r="BL839" s="210"/>
      <c r="BM839" s="210"/>
      <c r="BN839" s="210"/>
      <c r="BO839" s="210"/>
      <c r="BP839" s="210"/>
      <c r="BQ839" s="210"/>
      <c r="BR839" s="210"/>
      <c r="BS839" s="265"/>
    </row>
    <row r="840" spans="1:71" s="261" customFormat="1" ht="15">
      <c r="A840" s="266" t="s">
        <v>320</v>
      </c>
      <c r="B840" s="267">
        <f>IF(MO.DataSourceName="Bloomberg",1,IF(MO.DataSourceName="Capital IQ",2,IF(MO.DataSourceName="FactSet",3,IF(MO.DataSourceName="Refinitiv",4,1))))</f>
        <v>1</v>
      </c>
      <c r="C840" s="210"/>
      <c r="D840" s="210"/>
      <c r="E840" s="210"/>
      <c r="F840" s="210"/>
      <c r="G840" s="210"/>
      <c r="H840" s="210"/>
      <c r="I840" s="210"/>
      <c r="J840" s="210"/>
      <c r="K840" s="210"/>
      <c r="L840" s="210"/>
      <c r="M840" s="210"/>
      <c r="N840" s="210"/>
      <c r="O840" s="210"/>
      <c r="P840" s="210"/>
      <c r="Q840" s="210"/>
      <c r="R840" s="210"/>
      <c r="S840" s="210"/>
      <c r="T840" s="210"/>
      <c r="U840" s="210"/>
      <c r="V840" s="210"/>
      <c r="W840" s="210"/>
      <c r="X840" s="210"/>
      <c r="Y840" s="210"/>
      <c r="Z840" s="210"/>
      <c r="AA840" s="210"/>
      <c r="AB840" s="210"/>
      <c r="AC840" s="210"/>
      <c r="AD840" s="210"/>
      <c r="AE840" s="210"/>
      <c r="AF840" s="210"/>
      <c r="AG840" s="210"/>
      <c r="AH840" s="210"/>
      <c r="AI840" s="210"/>
      <c r="AJ840" s="210"/>
      <c r="AK840" s="210"/>
      <c r="AL840" s="210"/>
      <c r="AM840" s="210"/>
      <c r="AN840" s="210"/>
      <c r="AO840" s="210"/>
      <c r="AP840" s="210"/>
      <c r="AQ840" s="210"/>
      <c r="AR840" s="210"/>
      <c r="AS840" s="210"/>
      <c r="AT840" s="210"/>
      <c r="AU840" s="210"/>
      <c r="AV840" s="210"/>
      <c r="AW840" s="210"/>
      <c r="AX840" s="210"/>
      <c r="AY840" s="210"/>
      <c r="AZ840" s="210"/>
      <c r="BA840" s="210"/>
      <c r="BB840" s="210"/>
      <c r="BC840" s="210"/>
      <c r="BD840" s="210"/>
      <c r="BE840" s="210"/>
      <c r="BF840" s="210"/>
      <c r="BG840" s="210"/>
      <c r="BH840" s="553"/>
      <c r="BI840" s="210"/>
      <c r="BJ840" s="210"/>
      <c r="BK840" s="210"/>
      <c r="BL840" s="210"/>
      <c r="BM840" s="210"/>
      <c r="BN840" s="210"/>
      <c r="BO840" s="210"/>
      <c r="BP840" s="210"/>
      <c r="BQ840" s="210"/>
      <c r="BR840" s="210"/>
      <c r="BS840" s="265"/>
    </row>
    <row r="841" spans="1:71" ht="15">
      <c r="A841" s="522"/>
      <c r="B841" s="522"/>
      <c r="C841" s="432"/>
      <c r="D841" s="432"/>
      <c r="E841" s="432"/>
      <c r="F841" s="432"/>
      <c r="G841" s="432"/>
      <c r="H841" s="432"/>
      <c r="I841" s="432"/>
      <c r="J841" s="432"/>
      <c r="K841" s="432"/>
      <c r="L841" s="432"/>
      <c r="M841" s="432"/>
      <c r="N841" s="432"/>
      <c r="O841" s="432"/>
      <c r="P841" s="432"/>
      <c r="Q841" s="432"/>
      <c r="R841" s="432"/>
      <c r="S841" s="432"/>
      <c r="T841" s="432"/>
      <c r="U841" s="432"/>
      <c r="V841" s="432"/>
      <c r="W841" s="432"/>
      <c r="X841" s="432"/>
      <c r="Y841" s="432"/>
      <c r="Z841" s="432"/>
      <c r="AA841" s="432"/>
      <c r="AB841" s="432"/>
      <c r="AC841" s="432"/>
      <c r="AD841" s="432"/>
      <c r="AE841" s="432"/>
      <c r="AF841" s="432"/>
      <c r="AG841" s="432"/>
      <c r="AH841" s="432"/>
      <c r="AI841" s="432"/>
      <c r="AJ841" s="432"/>
      <c r="AK841" s="432"/>
      <c r="AL841" s="432"/>
      <c r="AM841" s="432"/>
      <c r="AN841" s="432"/>
      <c r="AO841" s="432"/>
      <c r="AP841" s="432"/>
      <c r="AQ841" s="432"/>
      <c r="AR841" s="432"/>
      <c r="AS841" s="432"/>
      <c r="AT841" s="432"/>
      <c r="AU841" s="432"/>
      <c r="AV841" s="432"/>
      <c r="AW841" s="432"/>
      <c r="AX841" s="432"/>
      <c r="AY841" s="432"/>
      <c r="AZ841" s="432"/>
      <c r="BA841" s="432"/>
      <c r="BB841" s="432"/>
      <c r="BC841" s="432"/>
      <c r="BD841" s="432"/>
      <c r="BE841" s="432"/>
      <c r="BF841" s="432"/>
      <c r="BG841" s="432"/>
      <c r="BH841" s="552"/>
      <c r="BI841" s="432"/>
      <c r="BJ841" s="432"/>
      <c r="BK841" s="432"/>
      <c r="BL841" s="432"/>
      <c r="BM841" s="432"/>
      <c r="BN841" s="432"/>
      <c r="BO841" s="432"/>
      <c r="BP841" s="432"/>
      <c r="BQ841" s="432"/>
      <c r="BR841" s="432"/>
      <c r="BS841" s="262"/>
    </row>
    <row r="842" spans="1:71" ht="15">
      <c r="A842" s="416" t="s">
        <v>666</v>
      </c>
      <c r="B842" s="273"/>
      <c r="C842" s="273"/>
      <c r="D842" s="273"/>
      <c r="E842" s="273"/>
      <c r="F842" s="273"/>
      <c r="G842" s="273"/>
      <c r="H842" s="273"/>
      <c r="I842" s="273"/>
      <c r="J842" s="273"/>
      <c r="K842" s="273"/>
      <c r="L842" s="273"/>
      <c r="M842" s="273"/>
      <c r="N842" s="273"/>
      <c r="O842" s="273"/>
      <c r="P842" s="273"/>
      <c r="Q842" s="273"/>
      <c r="R842" s="273"/>
      <c r="S842" s="273"/>
      <c r="T842" s="273"/>
      <c r="U842" s="273"/>
      <c r="V842" s="273"/>
      <c r="W842" s="273"/>
      <c r="X842" s="273"/>
      <c r="Y842" s="273"/>
      <c r="Z842" s="273"/>
      <c r="AA842" s="273"/>
      <c r="AB842" s="273"/>
      <c r="AC842" s="273"/>
      <c r="AD842" s="273"/>
      <c r="AE842" s="273"/>
      <c r="AF842" s="273"/>
      <c r="AG842" s="273"/>
      <c r="AH842" s="273"/>
      <c r="AI842" s="273"/>
      <c r="AJ842" s="273"/>
      <c r="AK842" s="273"/>
      <c r="AL842" s="273"/>
      <c r="AM842" s="273"/>
      <c r="AN842" s="273"/>
      <c r="AO842" s="273"/>
      <c r="AP842" s="273"/>
      <c r="AQ842" s="273"/>
      <c r="AR842" s="273"/>
      <c r="AS842" s="273"/>
      <c r="AT842" s="273"/>
      <c r="AU842" s="273"/>
      <c r="AV842" s="273"/>
      <c r="AW842" s="273"/>
      <c r="AX842" s="273"/>
      <c r="AY842" s="273"/>
      <c r="AZ842" s="273"/>
      <c r="BA842" s="273"/>
      <c r="BB842" s="273"/>
      <c r="BC842" s="273"/>
      <c r="BD842" s="273"/>
      <c r="BE842" s="273"/>
      <c r="BF842" s="273"/>
      <c r="BG842" s="273"/>
      <c r="BH842" s="273"/>
      <c r="BI842" s="273"/>
      <c r="BJ842" s="273"/>
      <c r="BK842" s="273"/>
      <c r="BL842" s="273"/>
      <c r="BM842" s="273"/>
      <c r="BN842" s="273"/>
      <c r="BO842" s="273"/>
      <c r="BP842" s="273"/>
      <c r="BQ842" s="273"/>
      <c r="BR842" s="273"/>
      <c r="BS842" s="262"/>
    </row>
    <row r="843" spans="1:71" ht="15">
      <c r="A843" s="262"/>
      <c r="B843" s="262"/>
      <c r="C843" s="262"/>
      <c r="D843" s="262"/>
      <c r="E843" s="262"/>
      <c r="F843" s="262"/>
      <c r="G843" s="262"/>
      <c r="H843" s="262"/>
      <c r="I843" s="262"/>
      <c r="J843" s="262"/>
      <c r="K843" s="262"/>
      <c r="L843" s="262"/>
      <c r="M843" s="262"/>
      <c r="N843" s="262"/>
      <c r="O843" s="262"/>
      <c r="P843" s="262"/>
      <c r="Q843" s="262"/>
      <c r="R843" s="262"/>
      <c r="S843" s="262"/>
      <c r="T843" s="262"/>
      <c r="U843" s="262"/>
      <c r="V843" s="262"/>
      <c r="W843" s="262"/>
      <c r="X843" s="262"/>
      <c r="Y843" s="262"/>
      <c r="Z843" s="262"/>
      <c r="AA843" s="262"/>
      <c r="AB843" s="262"/>
      <c r="AC843" s="262"/>
      <c r="AD843" s="262"/>
      <c r="AE843" s="262"/>
      <c r="AF843" s="262"/>
      <c r="AG843" s="262"/>
      <c r="AH843" s="262"/>
      <c r="AI843" s="262"/>
      <c r="AJ843" s="262"/>
      <c r="AK843" s="262"/>
      <c r="AL843" s="262"/>
      <c r="AM843" s="262"/>
      <c r="AN843" s="262"/>
      <c r="AO843" s="262"/>
      <c r="AP843" s="262"/>
      <c r="AQ843" s="262"/>
      <c r="AR843" s="262"/>
      <c r="AS843" s="262"/>
      <c r="AT843" s="262"/>
      <c r="AU843" s="262"/>
      <c r="AV843" s="262"/>
      <c r="AW843" s="262"/>
      <c r="AX843" s="262"/>
      <c r="AY843" s="262"/>
      <c r="AZ843" s="262"/>
      <c r="BA843" s="262"/>
      <c r="BB843" s="262"/>
      <c r="BC843" s="262"/>
      <c r="BD843" s="262"/>
      <c r="BE843" s="262"/>
      <c r="BF843" s="262"/>
      <c r="BG843" s="262"/>
      <c r="BH843" s="262"/>
      <c r="BI843" s="262"/>
      <c r="BJ843" s="262"/>
      <c r="BK843" s="262"/>
      <c r="BL843" s="262"/>
      <c r="BM843" s="262"/>
      <c r="BN843" s="262"/>
      <c r="BO843" s="262"/>
      <c r="BP843" s="262"/>
      <c r="BQ843" s="262"/>
      <c r="BR843" s="262"/>
      <c r="BS843" s="262"/>
    </row>
  </sheetData>
  <conditionalFormatting sqref="C358:BR358">
    <cfRule type="cellIs" priority="1108" dxfId="9" operator="equal">
      <formula>0</formula>
    </cfRule>
  </conditionalFormatting>
  <conditionalFormatting sqref="C358:BR358">
    <cfRule type="cellIs" priority="1107" dxfId="8" operator="notEqual">
      <formula>0</formula>
    </cfRule>
  </conditionalFormatting>
  <conditionalFormatting sqref="C622:BR622">
    <cfRule type="cellIs" priority="1106" dxfId="9" operator="equal">
      <formula>0</formula>
    </cfRule>
  </conditionalFormatting>
  <conditionalFormatting sqref="C622:BR622">
    <cfRule type="cellIs" priority="1105" dxfId="8" operator="notEqual">
      <formula>0</formula>
    </cfRule>
  </conditionalFormatting>
  <conditionalFormatting sqref="C665:BR665">
    <cfRule type="cellIs" priority="1104" dxfId="9" operator="equal">
      <formula>0</formula>
    </cfRule>
  </conditionalFormatting>
  <conditionalFormatting sqref="C665:BR665">
    <cfRule type="cellIs" priority="1103" dxfId="8" operator="notEqual">
      <formula>0</formula>
    </cfRule>
  </conditionalFormatting>
  <conditionalFormatting sqref="C668:BR693">
    <cfRule type="cellIs" priority="1102" dxfId="9" operator="equal">
      <formula>0</formula>
    </cfRule>
  </conditionalFormatting>
  <conditionalFormatting sqref="C668:BR693">
    <cfRule type="cellIs" priority="1101" dxfId="8" operator="notEqual">
      <formula>0</formula>
    </cfRule>
  </conditionalFormatting>
  <dataValidations count="1">
    <dataValidation type="list" allowBlank="1" showInputMessage="1" showErrorMessage="1" sqref="B502">
      <formula1>OFFSET(tb_ValuationToggle,1,0,4,1)</formula1>
    </dataValidation>
  </dataValidations>
  <hyperlinks>
    <hyperlink ref="A1" r:id="rId1" display="The Travelers Companies, Inc."/>
  </hyperlinks>
  <pageMargins left="0" right="0" top="0.393700787401575" bottom="0" header="0.196850393700787" footer="0"/>
  <pageSetup fitToHeight="0" orientation="landscape" paperSize="1" r:id="rId4"/>
  <headerFooter>
    <oddHeader>&amp;CThe Travelers Companies, Inc.&amp;RPage &amp;P</oddHead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15589FBB-197A-4B11-99F4-92A19AA57960}">
  <sheetPr codeName="Sheet1">
    <pageSetUpPr fitToPage="1"/>
  </sheetPr>
  <dimension ref="A1:BS86"/>
  <sheetViews>
    <sheetView workbookViewId="0" topLeftCell="A1">
      <pane xSplit="2" ySplit="2" topLeftCell="C3" activePane="bottomRight" state="frozen"/>
      <selection pane="topLeft" activeCell="A1" sqref="A1"/>
      <selection pane="bottomLeft" activeCell="A3" sqref="A3"/>
      <selection pane="topRight" activeCell="C1" sqref="C1"/>
      <selection pane="bottomRight" activeCell="A1" sqref="A1"/>
    </sheetView>
  </sheetViews>
  <sheetFormatPr defaultColWidth="9.144285714285713" defaultRowHeight="15" outlineLevelRow="1" outlineLevelCol="1"/>
  <cols>
    <col min="1" max="1" width="41.285714285714285" style="51" customWidth="1"/>
    <col min="2" max="7" width="10.714285714285714" style="51" customWidth="1"/>
    <col min="8" max="11" width="10.714285714285714" style="51" hidden="1" customWidth="1" outlineLevel="1"/>
    <col min="12" max="12" width="10.714285714285714" style="51" customWidth="1" collapsed="1"/>
    <col min="13" max="16" width="10.714285714285714" style="51" hidden="1" customWidth="1" outlineLevel="1"/>
    <col min="17" max="17" width="10.714285714285714" style="51" customWidth="1" collapsed="1"/>
    <col min="18" max="21" width="10.714285714285714" style="51" hidden="1" customWidth="1" outlineLevel="1"/>
    <col min="22" max="22" width="10.714285714285714" style="51" customWidth="1" collapsed="1"/>
    <col min="23" max="26" width="10.714285714285714" style="51" hidden="1" customWidth="1" outlineLevel="1"/>
    <col min="27" max="27" width="10.714285714285714" style="51" customWidth="1" collapsed="1"/>
    <col min="28" max="31" width="10.714285714285714" style="51" hidden="1" customWidth="1" outlineLevel="1"/>
    <col min="32" max="32" width="10.714285714285714" style="51" customWidth="1" collapsed="1"/>
    <col min="33" max="36" width="10.714285714285714" style="51" hidden="1" customWidth="1" outlineLevel="1"/>
    <col min="37" max="37" width="10.714285714285714" style="51" customWidth="1" collapsed="1"/>
    <col min="38" max="41" width="10.714285714285714" style="51" hidden="1" customWidth="1" outlineLevel="1"/>
    <col min="42" max="42" width="10.714285714285714" style="51" customWidth="1" collapsed="1"/>
    <col min="43" max="46" width="10.714285714285714" style="51" hidden="1" customWidth="1" outlineLevel="1"/>
    <col min="47" max="47" width="10.714285714285714" style="51" collapsed="1"/>
    <col min="48" max="51" width="10.714285714285714" style="51" hidden="1" customWidth="1" outlineLevel="1"/>
    <col min="52" max="52" width="10.714285714285714" style="51" customWidth="1" collapsed="1"/>
    <col min="53" max="55" width="10.714285714285714" style="51" hidden="1" customWidth="1" outlineLevel="1" collapsed="1"/>
    <col min="56" max="56" width="10.714285714285714" style="51" hidden="1" customWidth="1" outlineLevel="1"/>
    <col min="57" max="57" width="10.714285714285714" style="51" customWidth="1" collapsed="1"/>
    <col min="58" max="60" width="10.714285714285714" style="51" customWidth="1" outlineLevel="1" collapsed="1"/>
    <col min="61" max="61" width="10.714285714285714" style="51" customWidth="1" outlineLevel="1"/>
    <col min="62" max="62" width="10.714285714285714" style="51" customWidth="1"/>
    <col min="63" max="65" width="10.714285714285714" style="51" hidden="1" customWidth="1" outlineLevel="1" collapsed="1"/>
    <col min="66" max="66" width="10.714285714285714" style="51" hidden="1" customWidth="1" outlineLevel="1"/>
    <col min="67" max="67" width="10.714285714285714" style="51" customWidth="1" collapsed="1"/>
    <col min="68" max="70" width="10.714285714285714" style="51" customWidth="1"/>
    <col min="71" max="71" width="8.857142857142858" style="51" customWidth="1"/>
    <col min="72" max="76" width="9.142857142857142" style="51" customWidth="1"/>
    <col min="77" max="16384" width="9.142857142857142" style="51"/>
  </cols>
  <sheetData>
    <row r="1" spans="1:71" ht="28.5">
      <c r="A1" s="222" t="str">
        <f>MO.CompanyName</f>
        <v>The Travelers Companies, Inc.</v>
      </c>
      <c r="B1" s="839"/>
      <c r="C1" s="1102">
        <f t="shared" si="0" ref="C1:AQ1">INDEX(MO_Common_QEndDate,0,COLUMN())</f>
        <v>40178</v>
      </c>
      <c r="D1" s="1103">
        <f t="shared" si="0"/>
        <v>40543</v>
      </c>
      <c r="E1" s="1103">
        <f t="shared" si="0"/>
        <v>40908</v>
      </c>
      <c r="F1" s="1103">
        <f t="shared" si="0"/>
        <v>41274</v>
      </c>
      <c r="G1" s="1103">
        <f t="shared" si="0"/>
        <v>41639</v>
      </c>
      <c r="H1" s="177">
        <f t="shared" si="0"/>
        <v>41729</v>
      </c>
      <c r="I1" s="177">
        <f t="shared" si="0"/>
        <v>41820</v>
      </c>
      <c r="J1" s="177">
        <f t="shared" si="0"/>
        <v>41912</v>
      </c>
      <c r="K1" s="177">
        <f t="shared" si="0"/>
        <v>42004</v>
      </c>
      <c r="L1" s="1103">
        <f t="shared" si="0"/>
        <v>42004</v>
      </c>
      <c r="M1" s="177">
        <f t="shared" si="0"/>
        <v>42094</v>
      </c>
      <c r="N1" s="177">
        <f t="shared" si="0"/>
        <v>42185</v>
      </c>
      <c r="O1" s="177">
        <f t="shared" si="0"/>
        <v>42277</v>
      </c>
      <c r="P1" s="177">
        <f t="shared" si="0"/>
        <v>42369</v>
      </c>
      <c r="Q1" s="1103">
        <f t="shared" si="0"/>
        <v>42369</v>
      </c>
      <c r="R1" s="177">
        <f t="shared" si="0"/>
        <v>42460</v>
      </c>
      <c r="S1" s="177">
        <f t="shared" si="0"/>
        <v>42551</v>
      </c>
      <c r="T1" s="177">
        <f t="shared" si="0"/>
        <v>42643</v>
      </c>
      <c r="U1" s="177">
        <f t="shared" si="0"/>
        <v>42735</v>
      </c>
      <c r="V1" s="1103">
        <f t="shared" si="0"/>
        <v>42735</v>
      </c>
      <c r="W1" s="177">
        <f t="shared" si="0"/>
        <v>42825</v>
      </c>
      <c r="X1" s="177">
        <f t="shared" si="0"/>
        <v>42916</v>
      </c>
      <c r="Y1" s="177">
        <f t="shared" si="0"/>
        <v>43008</v>
      </c>
      <c r="Z1" s="177">
        <f t="shared" si="0"/>
        <v>43100</v>
      </c>
      <c r="AA1" s="1103">
        <f t="shared" si="0"/>
        <v>43100</v>
      </c>
      <c r="AB1" s="177">
        <f t="shared" si="0"/>
        <v>43190</v>
      </c>
      <c r="AC1" s="177">
        <f t="shared" si="0"/>
        <v>43281</v>
      </c>
      <c r="AD1" s="177">
        <f t="shared" si="0"/>
        <v>43373</v>
      </c>
      <c r="AE1" s="177">
        <f t="shared" si="0"/>
        <v>43465</v>
      </c>
      <c r="AF1" s="1103">
        <f t="shared" si="0"/>
        <v>43465</v>
      </c>
      <c r="AG1" s="177">
        <f t="shared" si="0"/>
        <v>43555</v>
      </c>
      <c r="AH1" s="177">
        <f t="shared" si="0"/>
        <v>43646</v>
      </c>
      <c r="AI1" s="177">
        <f t="shared" si="0"/>
        <v>43738</v>
      </c>
      <c r="AJ1" s="177">
        <f t="shared" si="0"/>
        <v>43830</v>
      </c>
      <c r="AK1" s="1103">
        <f t="shared" si="0"/>
        <v>43830</v>
      </c>
      <c r="AL1" s="177">
        <f t="shared" si="0"/>
        <v>43921</v>
      </c>
      <c r="AM1" s="177">
        <f t="shared" si="0"/>
        <v>44012</v>
      </c>
      <c r="AN1" s="177">
        <f>INDEX(MO_Common_QEndDate,0,COLUMN())</f>
        <v>44104</v>
      </c>
      <c r="AO1" s="177">
        <f t="shared" si="0"/>
        <v>44196</v>
      </c>
      <c r="AP1" s="1103">
        <f t="shared" si="0"/>
        <v>44196</v>
      </c>
      <c r="AQ1" s="177">
        <f t="shared" si="0"/>
        <v>44286</v>
      </c>
      <c r="AR1" s="177">
        <f t="shared" si="1" ref="AR1:AW1">INDEX(MO_Common_QEndDate,0,COLUMN())</f>
        <v>44377</v>
      </c>
      <c r="AS1" s="177">
        <f t="shared" si="1"/>
        <v>44469</v>
      </c>
      <c r="AT1" s="177">
        <f t="shared" si="1"/>
        <v>44561</v>
      </c>
      <c r="AU1" s="1103">
        <f t="shared" si="1"/>
        <v>44561</v>
      </c>
      <c r="AV1" s="177">
        <f t="shared" si="1"/>
        <v>44651</v>
      </c>
      <c r="AW1" s="177">
        <f t="shared" si="1"/>
        <v>44742</v>
      </c>
      <c r="AX1" s="177">
        <f t="shared" si="2" ref="AX1:BB1">INDEX(MO_Common_QEndDate,0,COLUMN())</f>
        <v>44834</v>
      </c>
      <c r="AY1" s="177">
        <f t="shared" si="2"/>
        <v>44926</v>
      </c>
      <c r="AZ1" s="1103">
        <f t="shared" si="2"/>
        <v>44926</v>
      </c>
      <c r="BA1" s="177">
        <f t="shared" si="2"/>
        <v>45016</v>
      </c>
      <c r="BB1" s="177">
        <f t="shared" si="2"/>
        <v>45107</v>
      </c>
      <c r="BC1" s="177">
        <f t="shared" si="3" ref="BC1:BJ1">INDEX(MO_Common_QEndDate,0,COLUMN())</f>
        <v>45199</v>
      </c>
      <c r="BD1" s="177">
        <f t="shared" si="3"/>
        <v>45291</v>
      </c>
      <c r="BE1" s="1103">
        <f t="shared" si="3"/>
        <v>45291</v>
      </c>
      <c r="BF1" s="177">
        <f t="shared" si="3"/>
        <v>45382</v>
      </c>
      <c r="BG1" s="177">
        <f t="shared" si="3"/>
        <v>45473</v>
      </c>
      <c r="BH1" s="783">
        <f>INDEX(MO_Common_QEndDate,0,COLUMN())</f>
        <v>45565</v>
      </c>
      <c r="BI1" s="177">
        <f t="shared" si="3"/>
        <v>45657</v>
      </c>
      <c r="BJ1" s="1103">
        <f t="shared" si="3"/>
        <v>45657</v>
      </c>
      <c r="BK1" s="177">
        <f t="shared" si="4" ref="BK1:BR1">INDEX(MO_Common_QEndDate,0,COLUMN())</f>
        <v>45747</v>
      </c>
      <c r="BL1" s="177">
        <f t="shared" si="4"/>
        <v>45838</v>
      </c>
      <c r="BM1" s="177">
        <f t="shared" si="4"/>
        <v>45930</v>
      </c>
      <c r="BN1" s="177">
        <f t="shared" si="4"/>
        <v>46022</v>
      </c>
      <c r="BO1" s="1103">
        <f t="shared" si="4"/>
        <v>46022</v>
      </c>
      <c r="BP1" s="1103">
        <f t="shared" si="4"/>
        <v>46387</v>
      </c>
      <c r="BQ1" s="1103">
        <f t="shared" si="4"/>
        <v>46752</v>
      </c>
      <c r="BR1" s="1103">
        <f t="shared" si="4"/>
        <v>47118</v>
      </c>
      <c r="BS1" s="839"/>
    </row>
    <row r="2" spans="1:71" s="53" customFormat="1" ht="15">
      <c r="A2" s="223" t="s">
        <v>321</v>
      </c>
      <c r="B2" s="224" t="str">
        <f>MO.ReportFX</f>
        <v>USD</v>
      </c>
      <c r="C2" s="1104" t="str">
        <f t="shared" si="5" ref="C2:AQ2">INDEX(MO_Common_ColumnHeader,0,COLUMN())</f>
        <v>FY2009</v>
      </c>
      <c r="D2" s="1105" t="str">
        <f t="shared" si="5"/>
        <v>FY2010</v>
      </c>
      <c r="E2" s="1105" t="str">
        <f t="shared" si="5"/>
        <v>FY2011</v>
      </c>
      <c r="F2" s="1105" t="str">
        <f t="shared" si="5"/>
        <v>FY2012</v>
      </c>
      <c r="G2" s="1105" t="str">
        <f t="shared" si="5"/>
        <v>FY2013</v>
      </c>
      <c r="H2" s="146" t="str">
        <f t="shared" si="5"/>
        <v>Q1-2014</v>
      </c>
      <c r="I2" s="146" t="str">
        <f t="shared" si="5"/>
        <v>Q2-2014</v>
      </c>
      <c r="J2" s="146" t="str">
        <f t="shared" si="5"/>
        <v>Q3-2014</v>
      </c>
      <c r="K2" s="146" t="str">
        <f t="shared" si="5"/>
        <v>Q4-2014</v>
      </c>
      <c r="L2" s="1105" t="str">
        <f t="shared" si="5"/>
        <v>FY2014</v>
      </c>
      <c r="M2" s="146" t="str">
        <f t="shared" si="5"/>
        <v>Q1-2015</v>
      </c>
      <c r="N2" s="146" t="str">
        <f t="shared" si="5"/>
        <v>Q2-2015</v>
      </c>
      <c r="O2" s="146" t="str">
        <f t="shared" si="5"/>
        <v>Q3-2015</v>
      </c>
      <c r="P2" s="146" t="str">
        <f t="shared" si="5"/>
        <v>Q4-2015</v>
      </c>
      <c r="Q2" s="1105" t="str">
        <f t="shared" si="5"/>
        <v>FY2015</v>
      </c>
      <c r="R2" s="146" t="str">
        <f t="shared" si="5"/>
        <v>Q1-2016</v>
      </c>
      <c r="S2" s="146" t="str">
        <f t="shared" si="5"/>
        <v>Q2-2016</v>
      </c>
      <c r="T2" s="146" t="str">
        <f t="shared" si="5"/>
        <v>Q3-2016</v>
      </c>
      <c r="U2" s="146" t="str">
        <f t="shared" si="5"/>
        <v>Q4-2016</v>
      </c>
      <c r="V2" s="1105" t="str">
        <f t="shared" si="5"/>
        <v>FY2016</v>
      </c>
      <c r="W2" s="146" t="str">
        <f t="shared" si="5"/>
        <v>Q1-2017</v>
      </c>
      <c r="X2" s="146" t="str">
        <f t="shared" si="5"/>
        <v>Q2-2017</v>
      </c>
      <c r="Y2" s="146" t="str">
        <f t="shared" si="5"/>
        <v>Q3-2017</v>
      </c>
      <c r="Z2" s="146" t="str">
        <f t="shared" si="5"/>
        <v>Q4-2017</v>
      </c>
      <c r="AA2" s="1105" t="str">
        <f t="shared" si="5"/>
        <v>FY2017</v>
      </c>
      <c r="AB2" s="146" t="str">
        <f t="shared" si="5"/>
        <v>Q1-2018</v>
      </c>
      <c r="AC2" s="146" t="str">
        <f t="shared" si="5"/>
        <v>Q2-2018</v>
      </c>
      <c r="AD2" s="146" t="str">
        <f t="shared" si="5"/>
        <v>Q3-2018</v>
      </c>
      <c r="AE2" s="146" t="str">
        <f t="shared" si="5"/>
        <v>Q4-2018</v>
      </c>
      <c r="AF2" s="1105" t="str">
        <f t="shared" si="5"/>
        <v>FY2018</v>
      </c>
      <c r="AG2" s="146" t="str">
        <f t="shared" si="5"/>
        <v>Q1-2019</v>
      </c>
      <c r="AH2" s="146" t="str">
        <f t="shared" si="5"/>
        <v>Q2-2019</v>
      </c>
      <c r="AI2" s="146" t="str">
        <f t="shared" si="5"/>
        <v>Q3-2019</v>
      </c>
      <c r="AJ2" s="146" t="str">
        <f t="shared" si="5"/>
        <v>Q4-2019</v>
      </c>
      <c r="AK2" s="1105" t="str">
        <f t="shared" si="5"/>
        <v>FY2019</v>
      </c>
      <c r="AL2" s="146" t="str">
        <f t="shared" si="5"/>
        <v>Q1-2020</v>
      </c>
      <c r="AM2" s="146" t="str">
        <f t="shared" si="5"/>
        <v>Q2-2020</v>
      </c>
      <c r="AN2" s="146" t="str">
        <f>INDEX(MO_Common_ColumnHeader,0,COLUMN())</f>
        <v>Q3-2020</v>
      </c>
      <c r="AO2" s="146" t="str">
        <f t="shared" si="5"/>
        <v>Q4-2020</v>
      </c>
      <c r="AP2" s="1105" t="str">
        <f t="shared" si="5"/>
        <v>FY2020</v>
      </c>
      <c r="AQ2" s="146" t="str">
        <f t="shared" si="5"/>
        <v>Q1-2021</v>
      </c>
      <c r="AR2" s="146" t="str">
        <f t="shared" si="6" ref="AR2:AW2">INDEX(MO_Common_ColumnHeader,0,COLUMN())</f>
        <v>Q2-2021</v>
      </c>
      <c r="AS2" s="146" t="str">
        <f t="shared" si="6"/>
        <v>Q3-2021</v>
      </c>
      <c r="AT2" s="146" t="str">
        <f t="shared" si="6"/>
        <v>Q4-2021</v>
      </c>
      <c r="AU2" s="1105" t="str">
        <f t="shared" si="6"/>
        <v>FY2021</v>
      </c>
      <c r="AV2" s="146" t="str">
        <f t="shared" si="6"/>
        <v>Q1-2022</v>
      </c>
      <c r="AW2" s="146" t="str">
        <f t="shared" si="6"/>
        <v>Q2-2022</v>
      </c>
      <c r="AX2" s="146" t="str">
        <f t="shared" si="7" ref="AX2:BB2">INDEX(MO_Common_ColumnHeader,0,COLUMN())</f>
        <v>Q3-2022</v>
      </c>
      <c r="AY2" s="146" t="str">
        <f t="shared" si="7"/>
        <v>Q4-2022</v>
      </c>
      <c r="AZ2" s="1105" t="str">
        <f t="shared" si="7"/>
        <v>FY2022</v>
      </c>
      <c r="BA2" s="146" t="str">
        <f t="shared" si="7"/>
        <v>Q1-2023</v>
      </c>
      <c r="BB2" s="146" t="str">
        <f t="shared" si="7"/>
        <v>Q2-2023</v>
      </c>
      <c r="BC2" s="146" t="str">
        <f t="shared" si="8" ref="BC2:BJ2">INDEX(MO_Common_ColumnHeader,0,COLUMN())</f>
        <v>Q3-2023</v>
      </c>
      <c r="BD2" s="146" t="str">
        <f t="shared" si="8"/>
        <v>Q4-2023</v>
      </c>
      <c r="BE2" s="1105" t="str">
        <f t="shared" si="8"/>
        <v>FY2023</v>
      </c>
      <c r="BF2" s="146" t="str">
        <f t="shared" si="8"/>
        <v>Q1-2024</v>
      </c>
      <c r="BG2" s="146" t="str">
        <f t="shared" si="8"/>
        <v>Q2-2024</v>
      </c>
      <c r="BH2" s="784" t="str">
        <f>INDEX(MO_Common_ColumnHeader,0,COLUMN())</f>
        <v>Q3-2024</v>
      </c>
      <c r="BI2" s="146" t="str">
        <f t="shared" si="8"/>
        <v>Q4-2024</v>
      </c>
      <c r="BJ2" s="1105" t="str">
        <f t="shared" si="8"/>
        <v>FY2024</v>
      </c>
      <c r="BK2" s="146" t="str">
        <f t="shared" si="9" ref="BK2:BR2">INDEX(MO_Common_ColumnHeader,0,COLUMN())</f>
        <v>Q1-2025</v>
      </c>
      <c r="BL2" s="146" t="str">
        <f t="shared" si="9"/>
        <v>Q2-2025</v>
      </c>
      <c r="BM2" s="146" t="str">
        <f t="shared" si="9"/>
        <v>Q3-2025</v>
      </c>
      <c r="BN2" s="146" t="str">
        <f t="shared" si="9"/>
        <v>Q4-2025</v>
      </c>
      <c r="BO2" s="1105" t="str">
        <f t="shared" si="9"/>
        <v>FY2025</v>
      </c>
      <c r="BP2" s="1105" t="str">
        <f t="shared" si="9"/>
        <v>FY2026</v>
      </c>
      <c r="BQ2" s="1105" t="str">
        <f t="shared" si="9"/>
        <v>FY2027</v>
      </c>
      <c r="BR2" s="1105" t="str">
        <f t="shared" si="9"/>
        <v>FY2028</v>
      </c>
      <c r="BS2" s="839"/>
    </row>
    <row r="3" spans="1:71" ht="15">
      <c r="A3" s="142" t="s">
        <v>322</v>
      </c>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2"/>
      <c r="AB3" s="142"/>
      <c r="AC3" s="142"/>
      <c r="AD3" s="142"/>
      <c r="AE3" s="142"/>
      <c r="AF3" s="142"/>
      <c r="AG3" s="142"/>
      <c r="AH3" s="142"/>
      <c r="AI3" s="142"/>
      <c r="AJ3" s="142"/>
      <c r="AK3" s="142"/>
      <c r="AL3" s="142"/>
      <c r="AM3" s="142"/>
      <c r="AN3" s="142"/>
      <c r="AO3" s="142"/>
      <c r="AP3" s="142"/>
      <c r="AQ3" s="142"/>
      <c r="AR3" s="142"/>
      <c r="AS3" s="142"/>
      <c r="AT3" s="142"/>
      <c r="AU3" s="142"/>
      <c r="AV3" s="142"/>
      <c r="AW3" s="142"/>
      <c r="AX3" s="142"/>
      <c r="AY3" s="142"/>
      <c r="AZ3" s="142"/>
      <c r="BA3" s="142"/>
      <c r="BB3" s="142"/>
      <c r="BC3" s="142"/>
      <c r="BD3" s="142"/>
      <c r="BE3" s="142"/>
      <c r="BF3" s="142"/>
      <c r="BG3" s="142"/>
      <c r="BH3" s="563"/>
      <c r="BI3" s="142"/>
      <c r="BJ3" s="142"/>
      <c r="BK3" s="142"/>
      <c r="BL3" s="142"/>
      <c r="BM3" s="142"/>
      <c r="BN3" s="142"/>
      <c r="BO3" s="142"/>
      <c r="BP3" s="142"/>
      <c r="BQ3" s="142"/>
      <c r="BR3" s="142"/>
      <c r="BS3" s="155"/>
    </row>
    <row r="4" spans="1:71" s="187" customFormat="1" ht="15">
      <c r="A4" s="421" t="str">
        <f>"Stock Price - "&amp;SP.ValuationToggle</f>
        <v>Stock Price - EoP</v>
      </c>
      <c r="B4" s="244" t="s">
        <v>609</v>
      </c>
      <c r="C4" s="1106">
        <f t="shared" si="10" ref="C4:AH4">IF(INDEX(MO_SNA_IsHistoricalPeriod,1,COLUMN())=FALSE,MO.LastPrice/HP.MRFX,CHOOSE(VLOOKUP(SP.ValuationToggle,tb_ValuationToggle,COLUMNS(tb_ValuationToggle),FALSE),INDEX(MO_SPT_StockHigh,1,COLUMN()),INDEX(MO_SPT_StockLow,1,COLUMN()),INDEX(MO_SPT_StockAverage,1,COLUMN()),INDEX(MO_SPT_StockEoP,1,COLUMN()))/IF(SP.ValuationToggle="EoP",IF(INDEX(MO_SPT_FXEoP,1,COLUMN())=0,1,INDEX(MO_SPT_FXEoP,1,COLUMN())),IF(INDEX(MO_SPT_FXAverage,1,COLUMN())=0,1,INDEX(MO_SPT_FXAverage,1,COLUMN()))))</f>
        <v>50.26</v>
      </c>
      <c r="D4" s="1106">
        <f t="shared" si="10"/>
        <v>55.54</v>
      </c>
      <c r="E4" s="1106">
        <f t="shared" si="10"/>
        <v>59.17</v>
      </c>
      <c r="F4" s="1106">
        <f t="shared" si="10"/>
        <v>71.239999999999995</v>
      </c>
      <c r="G4" s="1106">
        <f t="shared" si="10"/>
        <v>90.28</v>
      </c>
      <c r="H4" s="317">
        <f t="shared" si="10"/>
        <v>83.99</v>
      </c>
      <c r="I4" s="317">
        <f t="shared" si="10"/>
        <v>93.92</v>
      </c>
      <c r="J4" s="317">
        <f t="shared" si="10"/>
        <v>93.77</v>
      </c>
      <c r="K4" s="317">
        <f t="shared" si="10"/>
        <v>106.93000000000001</v>
      </c>
      <c r="L4" s="1106">
        <f t="shared" si="10"/>
        <v>106.93000000000001</v>
      </c>
      <c r="M4" s="317">
        <f t="shared" si="10"/>
        <v>109.64</v>
      </c>
      <c r="N4" s="317">
        <f t="shared" si="10"/>
        <v>96.14</v>
      </c>
      <c r="O4" s="317">
        <f t="shared" si="10"/>
        <v>99.47</v>
      </c>
      <c r="P4" s="317">
        <f t="shared" si="10"/>
        <v>114.29000000000001</v>
      </c>
      <c r="Q4" s="1106">
        <f t="shared" si="10"/>
        <v>114.29000000000001</v>
      </c>
      <c r="R4" s="317">
        <f t="shared" si="10"/>
        <v>117.43000000000001</v>
      </c>
      <c r="S4" s="317">
        <f t="shared" si="10"/>
        <v>116.81</v>
      </c>
      <c r="T4" s="317">
        <f t="shared" si="10"/>
        <v>113.87</v>
      </c>
      <c r="U4" s="317">
        <f t="shared" si="10"/>
        <v>122.42</v>
      </c>
      <c r="V4" s="1106">
        <f t="shared" si="10"/>
        <v>122.42</v>
      </c>
      <c r="W4" s="317">
        <f t="shared" si="10"/>
        <v>121.03</v>
      </c>
      <c r="X4" s="317">
        <f t="shared" si="10"/>
        <v>126.39</v>
      </c>
      <c r="Y4" s="317">
        <f t="shared" si="10"/>
        <v>122.52</v>
      </c>
      <c r="Z4" s="317">
        <f t="shared" si="10"/>
        <v>135.63999999999999</v>
      </c>
      <c r="AA4" s="1107">
        <f t="shared" si="10"/>
        <v>135.63999999999999</v>
      </c>
      <c r="AB4" s="317">
        <f t="shared" si="10"/>
        <v>138.86000000000001</v>
      </c>
      <c r="AC4" s="317">
        <f t="shared" si="10"/>
        <v>122.34</v>
      </c>
      <c r="AD4" s="317">
        <f t="shared" si="10"/>
        <v>129.71000000000001</v>
      </c>
      <c r="AE4" s="317">
        <f t="shared" si="10"/>
        <v>118.23999999999999</v>
      </c>
      <c r="AF4" s="1107">
        <f t="shared" si="10"/>
        <v>118.23999999999999</v>
      </c>
      <c r="AG4" s="317">
        <f t="shared" si="10"/>
        <v>137.16</v>
      </c>
      <c r="AH4" s="317">
        <f t="shared" si="10"/>
        <v>149.52000000000001</v>
      </c>
      <c r="AI4" s="317">
        <f t="shared" si="11" ref="AI4:BJ4">IF(INDEX(MO_SNA_IsHistoricalPeriod,1,COLUMN())=FALSE,MO.LastPrice/HP.MRFX,CHOOSE(VLOOKUP(SP.ValuationToggle,tb_ValuationToggle,COLUMNS(tb_ValuationToggle),FALSE),INDEX(MO_SPT_StockHigh,1,COLUMN()),INDEX(MO_SPT_StockLow,1,COLUMN()),INDEX(MO_SPT_StockAverage,1,COLUMN()),INDEX(MO_SPT_StockEoP,1,COLUMN()))/IF(SP.ValuationToggle="EoP",IF(INDEX(MO_SPT_FXEoP,1,COLUMN())=0,1,INDEX(MO_SPT_FXEoP,1,COLUMN())),IF(INDEX(MO_SPT_FXAverage,1,COLUMN())=0,1,INDEX(MO_SPT_FXAverage,1,COLUMN()))))</f>
        <v>148</v>
      </c>
      <c r="AJ4" s="317">
        <f t="shared" si="11"/>
        <v>136.49000000000001</v>
      </c>
      <c r="AK4" s="1107">
        <f t="shared" si="11"/>
        <v>136.49000000000001</v>
      </c>
      <c r="AL4" s="317">
        <f t="shared" si="11"/>
        <v>102.59</v>
      </c>
      <c r="AM4" s="317">
        <f t="shared" si="11"/>
        <v>112.90000000000001</v>
      </c>
      <c r="AN4" s="317">
        <f t="shared" si="11"/>
        <v>107.44</v>
      </c>
      <c r="AO4" s="317">
        <f t="shared" si="11"/>
        <v>139.08000000000001</v>
      </c>
      <c r="AP4" s="1107">
        <f t="shared" si="11"/>
        <v>139.08000000000001</v>
      </c>
      <c r="AQ4" s="317">
        <f t="shared" si="11"/>
        <v>154.03</v>
      </c>
      <c r="AR4" s="317">
        <f t="shared" si="11"/>
        <v>149.52000000000001</v>
      </c>
      <c r="AS4" s="317">
        <f t="shared" si="11"/>
        <v>154.88</v>
      </c>
      <c r="AT4" s="317">
        <f t="shared" si="11"/>
        <v>156.81</v>
      </c>
      <c r="AU4" s="1107">
        <f t="shared" si="11"/>
        <v>156.81</v>
      </c>
      <c r="AV4" s="317">
        <f t="shared" si="11"/>
        <v>185.55</v>
      </c>
      <c r="AW4" s="317">
        <f t="shared" si="11"/>
        <v>165.80</v>
      </c>
      <c r="AX4" s="317">
        <f t="shared" si="11"/>
        <v>154.68000000000001</v>
      </c>
      <c r="AY4" s="317">
        <f t="shared" si="11"/>
        <v>187.49</v>
      </c>
      <c r="AZ4" s="1107">
        <f t="shared" si="11"/>
        <v>187.49</v>
      </c>
      <c r="BA4" s="317">
        <f t="shared" si="11"/>
        <v>170.82</v>
      </c>
      <c r="BB4" s="317">
        <f t="shared" si="11"/>
        <v>170.99</v>
      </c>
      <c r="BC4" s="317">
        <f t="shared" si="11"/>
        <v>163.31</v>
      </c>
      <c r="BD4" s="317">
        <f>IF(INDEX(MO_SNA_IsHistoricalPeriod,1,COLUMN())=FALSE,MO.LastPrice/HP.MRFX,CHOOSE(VLOOKUP(SP.ValuationToggle,tb_ValuationToggle,COLUMNS(tb_ValuationToggle),FALSE),INDEX(MO_SPT_StockHigh,1,COLUMN()),INDEX(MO_SPT_StockLow,1,COLUMN()),INDEX(MO_SPT_StockAverage,1,COLUMN()),INDEX(MO_SPT_StockEoP,1,COLUMN()))/IF(SP.ValuationToggle="EoP",IF(INDEX(MO_SPT_FXEoP,1,COLUMN())=0,1,INDEX(MO_SPT_FXEoP,1,COLUMN())),IF(INDEX(MO_SPT_FXAverage,1,COLUMN())=0,1,INDEX(MO_SPT_FXAverage,1,COLUMN()))))</f>
        <v>190.49</v>
      </c>
      <c r="BE4" s="1107">
        <f>IF(INDEX(MO_SNA_IsHistoricalPeriod,1,COLUMN())=FALSE,MO.LastPrice/HP.MRFX,CHOOSE(VLOOKUP(SP.ValuationToggle,tb_ValuationToggle,COLUMNS(tb_ValuationToggle),FALSE),INDEX(MO_SPT_StockHigh,1,COLUMN()),INDEX(MO_SPT_StockLow,1,COLUMN()),INDEX(MO_SPT_StockAverage,1,COLUMN()),INDEX(MO_SPT_StockEoP,1,COLUMN()))/IF(SP.ValuationToggle="EoP",IF(INDEX(MO_SPT_FXEoP,1,COLUMN())=0,1,INDEX(MO_SPT_FXEoP,1,COLUMN())),IF(INDEX(MO_SPT_FXAverage,1,COLUMN())=0,1,INDEX(MO_SPT_FXAverage,1,COLUMN()))))</f>
        <v>190.49</v>
      </c>
      <c r="BF4" s="317">
        <f>IF(INDEX(MO_SNA_IsHistoricalPeriod,1,COLUMN())=FALSE,MO.LastPrice/HP.MRFX,CHOOSE(VLOOKUP(SP.ValuationToggle,tb_ValuationToggle,COLUMNS(tb_ValuationToggle),FALSE),INDEX(MO_SPT_StockHigh,1,COLUMN()),INDEX(MO_SPT_StockLow,1,COLUMN()),INDEX(MO_SPT_StockAverage,1,COLUMN()),INDEX(MO_SPT_StockEoP,1,COLUMN()))/IF(SP.ValuationToggle="EoP",IF(INDEX(MO_SPT_FXEoP,1,COLUMN())=0,1,INDEX(MO_SPT_FXEoP,1,COLUMN())),IF(INDEX(MO_SPT_FXAverage,1,COLUMN())=0,1,INDEX(MO_SPT_FXAverage,1,COLUMN()))))</f>
        <v>230.14</v>
      </c>
      <c r="BG4" s="317">
        <f>IF(INDEX(MO_SNA_IsHistoricalPeriod,1,COLUMN())=FALSE,MO.LastPrice/HP.MRFX,CHOOSE(VLOOKUP(SP.ValuationToggle,tb_ValuationToggle,COLUMNS(tb_ValuationToggle),FALSE),INDEX(MO_SPT_StockHigh,1,COLUMN()),INDEX(MO_SPT_StockLow,1,COLUMN()),INDEX(MO_SPT_StockAverage,1,COLUMN()),INDEX(MO_SPT_StockEoP,1,COLUMN()))/IF(SP.ValuationToggle="EoP",IF(INDEX(MO_SPT_FXEoP,1,COLUMN())=0,1,INDEX(MO_SPT_FXEoP,1,COLUMN())),IF(INDEX(MO_SPT_FXAverage,1,COLUMN())=0,1,INDEX(MO_SPT_FXAverage,1,COLUMN()))))</f>
        <v>203.34</v>
      </c>
      <c r="BH4" s="785">
        <f>IF(INDEX(MO_SNA_IsHistoricalPeriod,1,COLUMN())=FALSE,MO.LastPrice/HP.MRFX,CHOOSE(VLOOKUP(SP.ValuationToggle,tb_ValuationToggle,COLUMNS(tb_ValuationToggle),FALSE),INDEX(MO_SPT_StockHigh,1,COLUMN()),INDEX(MO_SPT_StockLow,1,COLUMN()),INDEX(MO_SPT_StockAverage,1,COLUMN()),INDEX(MO_SPT_StockEoP,1,COLUMN()))/IF(SP.ValuationToggle="EoP",IF(INDEX(MO_SPT_FXEoP,1,COLUMN())=0,1,INDEX(MO_SPT_FXEoP,1,COLUMN())),IF(INDEX(MO_SPT_FXAverage,1,COLUMN())=0,1,INDEX(MO_SPT_FXAverage,1,COLUMN()))))</f>
        <v>236.11</v>
      </c>
      <c r="BI4" s="317">
        <f t="shared" ca="1" si="11"/>
        <v>242.95</v>
      </c>
      <c r="BJ4" s="1107">
        <f t="shared" ca="1" si="11"/>
        <v>242.95</v>
      </c>
      <c r="BK4" s="317">
        <f ca="1" t="shared" si="12" ref="BK4:BR4">IF(INDEX(MO_SNA_IsHistoricalPeriod,1,COLUMN())=FALSE,MO.LastPrice/HP.MRFX,CHOOSE(VLOOKUP(SP.ValuationToggle,tb_ValuationToggle,COLUMNS(tb_ValuationToggle),FALSE),INDEX(MO_SPT_StockHigh,1,COLUMN()),INDEX(MO_SPT_StockLow,1,COLUMN()),INDEX(MO_SPT_StockAverage,1,COLUMN()),INDEX(MO_SPT_StockEoP,1,COLUMN()))/IF(SP.ValuationToggle="EoP",IF(INDEX(MO_SPT_FXEoP,1,COLUMN())=0,1,INDEX(MO_SPT_FXEoP,1,COLUMN())),IF(INDEX(MO_SPT_FXAverage,1,COLUMN())=0,1,INDEX(MO_SPT_FXAverage,1,COLUMN()))))</f>
        <v>242.95</v>
      </c>
      <c r="BL4" s="317">
        <f t="shared" ca="1" si="12"/>
        <v>242.95</v>
      </c>
      <c r="BM4" s="317">
        <f t="shared" ca="1" si="12"/>
        <v>242.95</v>
      </c>
      <c r="BN4" s="317">
        <f t="shared" ca="1" si="12"/>
        <v>242.95</v>
      </c>
      <c r="BO4" s="1107">
        <f t="shared" ca="1" si="12"/>
        <v>242.95</v>
      </c>
      <c r="BP4" s="1107">
        <f t="shared" ca="1" si="12"/>
        <v>242.95</v>
      </c>
      <c r="BQ4" s="1107">
        <f t="shared" ca="1" si="12"/>
        <v>242.95</v>
      </c>
      <c r="BR4" s="1107">
        <f t="shared" ca="1" si="12"/>
        <v>242.95</v>
      </c>
      <c r="BS4" s="274"/>
    </row>
    <row r="5" spans="1:71" s="187" customFormat="1" ht="15">
      <c r="A5" s="677" t="str">
        <f>INDEX(MO_SCA_ShareCount_EoP_Diluted,0,COLUMN())</f>
        <v>EoP Total Diluted Common Stock Outstanding, mm shares</v>
      </c>
      <c r="B5" s="679"/>
      <c r="C5" s="1108">
        <f t="shared" si="13" ref="C5:AH5">INDEX(MO_SCA_ShareCount_EoP_Diluted,0,COLUMN())</f>
        <v>525.69999999999993</v>
      </c>
      <c r="D5" s="1108">
        <f t="shared" si="13"/>
        <v>440.60</v>
      </c>
      <c r="E5" s="1108">
        <f t="shared" si="13"/>
        <v>397.50</v>
      </c>
      <c r="F5" s="1108">
        <f t="shared" si="13"/>
        <v>381</v>
      </c>
      <c r="G5" s="1108">
        <f t="shared" si="13"/>
        <v>357.50</v>
      </c>
      <c r="H5" s="888">
        <f t="shared" si="13"/>
        <v>351.20000000000005</v>
      </c>
      <c r="I5" s="888">
        <f t="shared" si="13"/>
        <v>342.70</v>
      </c>
      <c r="J5" s="888">
        <f t="shared" si="13"/>
        <v>335.19999999999993</v>
      </c>
      <c r="K5" s="888">
        <f t="shared" si="13"/>
        <v>326.39999999999998</v>
      </c>
      <c r="L5" s="1108">
        <f t="shared" si="13"/>
        <v>326.39999999999998</v>
      </c>
      <c r="M5" s="888">
        <f t="shared" si="13"/>
        <v>322.39999999999998</v>
      </c>
      <c r="N5" s="888">
        <f t="shared" si="13"/>
        <v>314.39999999999998</v>
      </c>
      <c r="O5" s="888">
        <f t="shared" si="13"/>
        <v>307.59999999999997</v>
      </c>
      <c r="P5" s="888">
        <f t="shared" si="13"/>
        <v>299.50</v>
      </c>
      <c r="Q5" s="1108">
        <f t="shared" si="13"/>
        <v>299.50</v>
      </c>
      <c r="R5" s="888">
        <f t="shared" si="13"/>
        <v>296.09999999999997</v>
      </c>
      <c r="S5" s="888">
        <f t="shared" si="13"/>
        <v>291.80</v>
      </c>
      <c r="T5" s="888">
        <f t="shared" si="13"/>
        <v>287.90000000000003</v>
      </c>
      <c r="U5" s="888">
        <f t="shared" si="13"/>
        <v>282.60000000000002</v>
      </c>
      <c r="V5" s="1108">
        <f t="shared" si="13"/>
        <v>282.60000000000002</v>
      </c>
      <c r="W5" s="888">
        <f t="shared" si="13"/>
        <v>282.09999999999997</v>
      </c>
      <c r="X5" s="888">
        <f t="shared" si="13"/>
        <v>278.39999999999998</v>
      </c>
      <c r="Y5" s="888">
        <f t="shared" si="13"/>
        <v>276.20</v>
      </c>
      <c r="Z5" s="888">
        <f t="shared" si="13"/>
        <v>274.29999999999995</v>
      </c>
      <c r="AA5" s="1109">
        <f t="shared" si="13"/>
        <v>274.29999999999995</v>
      </c>
      <c r="AB5" s="888">
        <f t="shared" si="13"/>
        <v>273.09999999999997</v>
      </c>
      <c r="AC5" s="888">
        <f t="shared" si="13"/>
        <v>270.10000000000002</v>
      </c>
      <c r="AD5" s="888">
        <f t="shared" si="13"/>
        <v>267.09999999999997</v>
      </c>
      <c r="AE5" s="888">
        <f t="shared" si="13"/>
        <v>265.70000000000005</v>
      </c>
      <c r="AF5" s="1109">
        <f t="shared" si="13"/>
        <v>265.70000000000005</v>
      </c>
      <c r="AG5" s="888">
        <f t="shared" si="13"/>
        <v>263.80</v>
      </c>
      <c r="AH5" s="888">
        <f t="shared" si="13"/>
        <v>262.70</v>
      </c>
      <c r="AI5" s="888">
        <f t="shared" si="14" ref="AI5:BJ5">INDEX(MO_SCA_ShareCount_EoP_Diluted,0,COLUMN())</f>
        <v>260.70000000000005</v>
      </c>
      <c r="AJ5" s="888">
        <f t="shared" si="14"/>
        <v>257.70</v>
      </c>
      <c r="AK5" s="1109">
        <f t="shared" si="14"/>
        <v>257.70</v>
      </c>
      <c r="AL5" s="888">
        <f t="shared" si="14"/>
        <v>254.30</v>
      </c>
      <c r="AM5" s="888">
        <f t="shared" si="14"/>
        <v>254.70</v>
      </c>
      <c r="AN5" s="888">
        <f t="shared" si="14"/>
        <v>254.30</v>
      </c>
      <c r="AO5" s="888">
        <f t="shared" si="14"/>
        <v>253.80</v>
      </c>
      <c r="AP5" s="1109">
        <f t="shared" si="14"/>
        <v>253.80</v>
      </c>
      <c r="AQ5" s="888">
        <f t="shared" si="14"/>
        <v>253.50</v>
      </c>
      <c r="AR5" s="888">
        <f t="shared" si="14"/>
        <v>251.90</v>
      </c>
      <c r="AS5" s="888">
        <f t="shared" si="14"/>
        <v>248.40</v>
      </c>
      <c r="AT5" s="888">
        <f t="shared" si="14"/>
        <v>243.79999999999998</v>
      </c>
      <c r="AU5" s="1109">
        <f t="shared" si="14"/>
        <v>243.79999999999998</v>
      </c>
      <c r="AV5" s="888">
        <f t="shared" si="14"/>
        <v>242.79999999999998</v>
      </c>
      <c r="AW5" s="888">
        <f t="shared" si="14"/>
        <v>240</v>
      </c>
      <c r="AX5" s="888">
        <f t="shared" si="14"/>
        <v>236.80</v>
      </c>
      <c r="AY5" s="888">
        <f t="shared" si="14"/>
        <v>235.20000000000002</v>
      </c>
      <c r="AZ5" s="1109">
        <f t="shared" si="14"/>
        <v>235.20000000000002</v>
      </c>
      <c r="BA5" s="888">
        <f t="shared" si="14"/>
        <v>233.70000000000002</v>
      </c>
      <c r="BB5" s="888">
        <f t="shared" si="14"/>
        <v>231.60000000000002</v>
      </c>
      <c r="BC5" s="888">
        <f t="shared" si="14"/>
        <v>230.70</v>
      </c>
      <c r="BD5" s="888">
        <f>INDEX(MO_SCA_ShareCount_EoP_Diluted,0,COLUMN())</f>
        <v>230.89999999999998</v>
      </c>
      <c r="BE5" s="1109">
        <f>INDEX(MO_SCA_ShareCount_EoP_Diluted,0,COLUMN())</f>
        <v>230.89999999999998</v>
      </c>
      <c r="BF5" s="888">
        <f>INDEX(MO_SCA_ShareCount_EoP_Diluted,0,COLUMN())</f>
        <v>232</v>
      </c>
      <c r="BG5" s="888">
        <f>INDEX(MO_SCA_ShareCount_EoP_Diluted,0,COLUMN())</f>
        <v>230.80</v>
      </c>
      <c r="BH5" s="890">
        <f>INDEX(MO_SCA_ShareCount_EoP_Diluted,0,COLUMN())</f>
        <v>230.20</v>
      </c>
      <c r="BI5" s="888">
        <f t="shared" ca="1" si="14"/>
        <v>229.27</v>
      </c>
      <c r="BJ5" s="1109">
        <f t="shared" ca="1" si="14"/>
        <v>229.27</v>
      </c>
      <c r="BK5" s="888">
        <f ca="1" t="shared" si="15" ref="BK5:BR5">INDEX(MO_SCA_ShareCount_EoP_Diluted,0,COLUMN())</f>
        <v>229.27</v>
      </c>
      <c r="BL5" s="888">
        <f t="shared" ca="1" si="15"/>
        <v>229.27</v>
      </c>
      <c r="BM5" s="888">
        <f t="shared" ca="1" si="15"/>
        <v>229.27</v>
      </c>
      <c r="BN5" s="888">
        <f t="shared" ca="1" si="15"/>
        <v>229.27</v>
      </c>
      <c r="BO5" s="1109">
        <f t="shared" ca="1" si="15"/>
        <v>229.27</v>
      </c>
      <c r="BP5" s="1109">
        <f t="shared" ca="1" si="15"/>
        <v>229.27</v>
      </c>
      <c r="BQ5" s="1109">
        <f t="shared" ca="1" si="15"/>
        <v>229.27</v>
      </c>
      <c r="BR5" s="1109">
        <f t="shared" ca="1" si="15"/>
        <v>229.27</v>
      </c>
      <c r="BS5" s="274"/>
    </row>
    <row r="6" spans="1:71" s="54" customFormat="1" ht="15">
      <c r="A6" s="228" t="str">
        <f>"Market Cap - "&amp;SP.ValuationToggle</f>
        <v>Market Cap - EoP</v>
      </c>
      <c r="B6" s="229"/>
      <c r="C6" s="1110">
        <f t="shared" si="16" ref="C6:AH6">INDEX(SP_CS_StockPrice,0,COLUMN())*INDEX(SP_CS_ShareCount_EoP_Diluted,0,COLUMN())</f>
        <v>26421.681999999997</v>
      </c>
      <c r="D6" s="1110">
        <f t="shared" si="16"/>
        <v>24470.923999999999</v>
      </c>
      <c r="E6" s="1110">
        <f t="shared" si="16"/>
        <v>23520.075000000001</v>
      </c>
      <c r="F6" s="1110">
        <f t="shared" si="16"/>
        <v>27142.439999999999</v>
      </c>
      <c r="G6" s="1110">
        <f t="shared" si="16"/>
        <v>32275.100000000002</v>
      </c>
      <c r="H6" s="161">
        <f t="shared" si="16"/>
        <v>29497.288</v>
      </c>
      <c r="I6" s="161">
        <f t="shared" si="16"/>
        <v>32186.383999999998</v>
      </c>
      <c r="J6" s="161">
        <f t="shared" si="16"/>
        <v>31431.703999999991</v>
      </c>
      <c r="K6" s="161">
        <f t="shared" si="16"/>
        <v>34901.951999999997</v>
      </c>
      <c r="L6" s="1110">
        <f t="shared" si="16"/>
        <v>34901.951999999997</v>
      </c>
      <c r="M6" s="161">
        <f t="shared" si="16"/>
        <v>35347.935999999994</v>
      </c>
      <c r="N6" s="161">
        <f t="shared" si="16"/>
        <v>30226.415999999997</v>
      </c>
      <c r="O6" s="161">
        <f t="shared" si="16"/>
        <v>30596.971999999998</v>
      </c>
      <c r="P6" s="161">
        <f t="shared" si="16"/>
        <v>34229.855000000003</v>
      </c>
      <c r="Q6" s="1110">
        <f t="shared" si="16"/>
        <v>34229.855000000003</v>
      </c>
      <c r="R6" s="161">
        <f t="shared" si="16"/>
        <v>34771.023000000001</v>
      </c>
      <c r="S6" s="161">
        <f t="shared" si="16"/>
        <v>34085.158000000003</v>
      </c>
      <c r="T6" s="161">
        <f t="shared" si="16"/>
        <v>32783.173000000003</v>
      </c>
      <c r="U6" s="161">
        <f t="shared" si="16"/>
        <v>34595.892</v>
      </c>
      <c r="V6" s="1110">
        <f t="shared" si="16"/>
        <v>34595.892</v>
      </c>
      <c r="W6" s="161">
        <f t="shared" si="16"/>
        <v>34142.562999999995</v>
      </c>
      <c r="X6" s="161">
        <f t="shared" si="16"/>
        <v>35186.975999999995</v>
      </c>
      <c r="Y6" s="161">
        <f t="shared" si="16"/>
        <v>33840.023999999998</v>
      </c>
      <c r="Z6" s="161">
        <f t="shared" si="16"/>
        <v>37206.051999999989</v>
      </c>
      <c r="AA6" s="1110">
        <f t="shared" si="16"/>
        <v>37206.051999999989</v>
      </c>
      <c r="AB6" s="161">
        <f t="shared" si="16"/>
        <v>37922.665999999997</v>
      </c>
      <c r="AC6" s="161">
        <f t="shared" si="16"/>
        <v>33044.034000000007</v>
      </c>
      <c r="AD6" s="161">
        <f t="shared" si="16"/>
        <v>34645.540999999997</v>
      </c>
      <c r="AE6" s="161">
        <f t="shared" si="16"/>
        <v>31416.368000000002</v>
      </c>
      <c r="AF6" s="1110">
        <f t="shared" si="16"/>
        <v>31416.368000000002</v>
      </c>
      <c r="AG6" s="161">
        <f t="shared" si="16"/>
        <v>36182.807999999997</v>
      </c>
      <c r="AH6" s="161">
        <f t="shared" si="16"/>
        <v>39278.904000000002</v>
      </c>
      <c r="AI6" s="161">
        <f t="shared" si="17" ref="AI6:BJ6">INDEX(SP_CS_StockPrice,0,COLUMN())*INDEX(SP_CS_ShareCount_EoP_Diluted,0,COLUMN())</f>
        <v>38583.600000000006</v>
      </c>
      <c r="AJ6" s="161">
        <f t="shared" si="17"/>
        <v>35173.472999999998</v>
      </c>
      <c r="AK6" s="1110">
        <f t="shared" si="17"/>
        <v>35173.472999999998</v>
      </c>
      <c r="AL6" s="161">
        <f t="shared" si="17"/>
        <v>26088.637000000002</v>
      </c>
      <c r="AM6" s="161">
        <f t="shared" si="17"/>
        <v>28755.630000000001</v>
      </c>
      <c r="AN6" s="161">
        <f t="shared" si="17"/>
        <v>27321.992000000002</v>
      </c>
      <c r="AO6" s="161">
        <f t="shared" si="17"/>
        <v>35298.504000000008</v>
      </c>
      <c r="AP6" s="1110">
        <f t="shared" si="17"/>
        <v>35298.504000000008</v>
      </c>
      <c r="AQ6" s="161">
        <f t="shared" si="17"/>
        <v>39046.605000000003</v>
      </c>
      <c r="AR6" s="161">
        <f t="shared" si="17"/>
        <v>37664.088000000003</v>
      </c>
      <c r="AS6" s="161">
        <f t="shared" si="17"/>
        <v>38472.192000000003</v>
      </c>
      <c r="AT6" s="161">
        <f t="shared" si="17"/>
        <v>38230.277999999998</v>
      </c>
      <c r="AU6" s="1110">
        <f t="shared" si="17"/>
        <v>38230.277999999998</v>
      </c>
      <c r="AV6" s="161">
        <f t="shared" si="17"/>
        <v>45051.540000000001</v>
      </c>
      <c r="AW6" s="161">
        <f t="shared" si="17"/>
        <v>39792</v>
      </c>
      <c r="AX6" s="161">
        <f t="shared" si="17"/>
        <v>36628.224000000002</v>
      </c>
      <c r="AY6" s="161">
        <f t="shared" si="17"/>
        <v>44097.648000000008</v>
      </c>
      <c r="AZ6" s="1110">
        <f t="shared" si="17"/>
        <v>44097.648000000008</v>
      </c>
      <c r="BA6" s="161">
        <f t="shared" si="17"/>
        <v>39920.633999999998</v>
      </c>
      <c r="BB6" s="161">
        <f t="shared" si="17"/>
        <v>39601.284000000007</v>
      </c>
      <c r="BC6" s="161">
        <f t="shared" si="17"/>
        <v>37675.616999999998</v>
      </c>
      <c r="BD6" s="161">
        <f>INDEX(SP_CS_StockPrice,0,COLUMN())*INDEX(SP_CS_ShareCount_EoP_Diluted,0,COLUMN())</f>
        <v>43984.140999999996</v>
      </c>
      <c r="BE6" s="1110">
        <f>INDEX(SP_CS_StockPrice,0,COLUMN())*INDEX(SP_CS_ShareCount_EoP_Diluted,0,COLUMN())</f>
        <v>43984.140999999996</v>
      </c>
      <c r="BF6" s="161">
        <f>INDEX(SP_CS_StockPrice,0,COLUMN())*INDEX(SP_CS_ShareCount_EoP_Diluted,0,COLUMN())</f>
        <v>53392.48</v>
      </c>
      <c r="BG6" s="161">
        <f>INDEX(SP_CS_StockPrice,0,COLUMN())*INDEX(SP_CS_ShareCount_EoP_Diluted,0,COLUMN())</f>
        <v>46930.872000000003</v>
      </c>
      <c r="BH6" s="786">
        <f>INDEX(SP_CS_StockPrice,0,COLUMN())*INDEX(SP_CS_ShareCount_EoP_Diluted,0,COLUMN())</f>
        <v>54352.521999999997</v>
      </c>
      <c r="BI6" s="161">
        <f t="shared" ca="1" si="17"/>
        <v>55701.146500000003</v>
      </c>
      <c r="BJ6" s="1110">
        <f t="shared" ca="1" si="17"/>
        <v>55701.146500000003</v>
      </c>
      <c r="BK6" s="161">
        <f ca="1" t="shared" si="18" ref="BK6:BR6">INDEX(SP_CS_StockPrice,0,COLUMN())*INDEX(SP_CS_ShareCount_EoP_Diluted,0,COLUMN())</f>
        <v>55701.146500000003</v>
      </c>
      <c r="BL6" s="161">
        <f t="shared" ca="1" si="18"/>
        <v>55701.146500000003</v>
      </c>
      <c r="BM6" s="161">
        <f t="shared" ca="1" si="18"/>
        <v>55701.146500000003</v>
      </c>
      <c r="BN6" s="161">
        <f t="shared" ca="1" si="18"/>
        <v>55701.146500000003</v>
      </c>
      <c r="BO6" s="1110">
        <f t="shared" ca="1" si="18"/>
        <v>55701.146500000003</v>
      </c>
      <c r="BP6" s="1110">
        <f t="shared" ca="1" si="18"/>
        <v>55701.146500000003</v>
      </c>
      <c r="BQ6" s="1110">
        <f t="shared" ca="1" si="18"/>
        <v>55701.146500000003</v>
      </c>
      <c r="BR6" s="1110">
        <f t="shared" ca="1" si="18"/>
        <v>55701.146500000003</v>
      </c>
      <c r="BS6" s="840"/>
    </row>
    <row r="7" spans="1:71" s="57" customFormat="1" ht="15">
      <c r="A7" s="230"/>
      <c r="B7" s="231"/>
      <c r="C7" s="1111"/>
      <c r="D7" s="1111"/>
      <c r="E7" s="1111"/>
      <c r="F7" s="1111"/>
      <c r="G7" s="1111"/>
      <c r="H7" s="149"/>
      <c r="I7" s="149"/>
      <c r="J7" s="149"/>
      <c r="K7" s="149"/>
      <c r="L7" s="1111"/>
      <c r="M7" s="149"/>
      <c r="N7" s="149"/>
      <c r="O7" s="149"/>
      <c r="P7" s="149"/>
      <c r="Q7" s="1111"/>
      <c r="R7" s="149"/>
      <c r="S7" s="149"/>
      <c r="T7" s="149"/>
      <c r="U7" s="149"/>
      <c r="V7" s="1111"/>
      <c r="W7" s="149"/>
      <c r="X7" s="149"/>
      <c r="Y7" s="149"/>
      <c r="Z7" s="149"/>
      <c r="AA7" s="1111"/>
      <c r="AB7" s="149"/>
      <c r="AC7" s="149"/>
      <c r="AD7" s="149"/>
      <c r="AE7" s="149"/>
      <c r="AF7" s="1111"/>
      <c r="AG7" s="149"/>
      <c r="AH7" s="149"/>
      <c r="AI7" s="149"/>
      <c r="AJ7" s="149"/>
      <c r="AK7" s="1111"/>
      <c r="AL7" s="149"/>
      <c r="AM7" s="149"/>
      <c r="AN7" s="149"/>
      <c r="AO7" s="149"/>
      <c r="AP7" s="1111"/>
      <c r="AQ7" s="149"/>
      <c r="AR7" s="149"/>
      <c r="AS7" s="149"/>
      <c r="AT7" s="149"/>
      <c r="AU7" s="1111"/>
      <c r="AV7" s="149"/>
      <c r="AW7" s="149"/>
      <c r="AX7" s="149"/>
      <c r="AY7" s="149"/>
      <c r="AZ7" s="1111"/>
      <c r="BA7" s="149"/>
      <c r="BB7" s="149"/>
      <c r="BC7" s="149"/>
      <c r="BD7" s="149"/>
      <c r="BE7" s="1111"/>
      <c r="BF7" s="149"/>
      <c r="BG7" s="149"/>
      <c r="BH7" s="787"/>
      <c r="BI7" s="149"/>
      <c r="BJ7" s="1111"/>
      <c r="BK7" s="149"/>
      <c r="BL7" s="149"/>
      <c r="BM7" s="149"/>
      <c r="BN7" s="149"/>
      <c r="BO7" s="1111"/>
      <c r="BP7" s="1111"/>
      <c r="BQ7" s="1111"/>
      <c r="BR7" s="1111"/>
      <c r="BS7" s="149"/>
    </row>
    <row r="8" spans="1:71" ht="15">
      <c r="A8" s="142" t="s">
        <v>323</v>
      </c>
      <c r="B8" s="838"/>
      <c r="C8" s="891"/>
      <c r="D8" s="891"/>
      <c r="E8" s="891"/>
      <c r="F8" s="891"/>
      <c r="G8" s="891"/>
      <c r="H8" s="891"/>
      <c r="I8" s="891"/>
      <c r="J8" s="891"/>
      <c r="K8" s="891"/>
      <c r="L8" s="891"/>
      <c r="M8" s="891"/>
      <c r="N8" s="891"/>
      <c r="O8" s="891"/>
      <c r="P8" s="891"/>
      <c r="Q8" s="891"/>
      <c r="R8" s="891"/>
      <c r="S8" s="891"/>
      <c r="T8" s="891"/>
      <c r="U8" s="891"/>
      <c r="V8" s="891"/>
      <c r="W8" s="891"/>
      <c r="X8" s="891"/>
      <c r="Y8" s="891"/>
      <c r="Z8" s="891"/>
      <c r="AA8" s="891"/>
      <c r="AB8" s="891"/>
      <c r="AC8" s="891"/>
      <c r="AD8" s="891"/>
      <c r="AE8" s="891"/>
      <c r="AF8" s="891"/>
      <c r="AG8" s="891"/>
      <c r="AH8" s="891"/>
      <c r="AI8" s="891"/>
      <c r="AJ8" s="891"/>
      <c r="AK8" s="891"/>
      <c r="AL8" s="891"/>
      <c r="AM8" s="891"/>
      <c r="AN8" s="891"/>
      <c r="AO8" s="891"/>
      <c r="AP8" s="891"/>
      <c r="AQ8" s="891"/>
      <c r="AR8" s="891"/>
      <c r="AS8" s="891"/>
      <c r="AT8" s="891"/>
      <c r="AU8" s="891"/>
      <c r="AV8" s="891"/>
      <c r="AW8" s="891"/>
      <c r="AX8" s="891"/>
      <c r="AY8" s="891"/>
      <c r="AZ8" s="891"/>
      <c r="BA8" s="891"/>
      <c r="BB8" s="891"/>
      <c r="BC8" s="891"/>
      <c r="BD8" s="891"/>
      <c r="BE8" s="891"/>
      <c r="BF8" s="891"/>
      <c r="BG8" s="891"/>
      <c r="BH8" s="892"/>
      <c r="BI8" s="891"/>
      <c r="BJ8" s="891"/>
      <c r="BK8" s="891"/>
      <c r="BL8" s="891"/>
      <c r="BM8" s="891"/>
      <c r="BN8" s="891"/>
      <c r="BO8" s="891"/>
      <c r="BP8" s="891"/>
      <c r="BQ8" s="891"/>
      <c r="BR8" s="891"/>
      <c r="BS8" s="840"/>
    </row>
    <row r="9" spans="1:71" s="54" customFormat="1" ht="15">
      <c r="A9" s="225" t="str">
        <f>INDEX(MO_UI_NWP,0,COLUMN())</f>
        <v>Total Net Written Premiums, mm</v>
      </c>
      <c r="B9" s="232"/>
      <c r="C9" s="1111">
        <f t="shared" si="19" ref="C9:AQ9">INDEX(MO_UI_NWP,0,COLUMN())</f>
        <v>21336</v>
      </c>
      <c r="D9" s="1111">
        <f t="shared" si="19"/>
        <v>21635</v>
      </c>
      <c r="E9" s="1111">
        <f t="shared" si="19"/>
        <v>22187</v>
      </c>
      <c r="F9" s="1111">
        <f t="shared" si="19"/>
        <v>22447</v>
      </c>
      <c r="G9" s="1111">
        <f t="shared" si="19"/>
        <v>22767</v>
      </c>
      <c r="H9" s="149">
        <f t="shared" si="19"/>
        <v>5873</v>
      </c>
      <c r="I9" s="149">
        <f t="shared" si="19"/>
        <v>6168</v>
      </c>
      <c r="J9" s="149">
        <f t="shared" si="19"/>
        <v>6033</v>
      </c>
      <c r="K9" s="149">
        <f t="shared" si="19"/>
        <v>5836</v>
      </c>
      <c r="L9" s="1111">
        <f t="shared" si="19"/>
        <v>23910</v>
      </c>
      <c r="M9" s="149">
        <f t="shared" si="19"/>
        <v>5897</v>
      </c>
      <c r="N9" s="149">
        <f t="shared" si="19"/>
        <v>6169</v>
      </c>
      <c r="O9" s="149">
        <f t="shared" si="19"/>
        <v>6191</v>
      </c>
      <c r="P9" s="149">
        <f t="shared" si="19"/>
        <v>5864</v>
      </c>
      <c r="Q9" s="1111">
        <f t="shared" si="19"/>
        <v>24121</v>
      </c>
      <c r="R9" s="149">
        <f t="shared" si="19"/>
        <v>6166</v>
      </c>
      <c r="S9" s="149">
        <f t="shared" si="19"/>
        <v>6345</v>
      </c>
      <c r="T9" s="149">
        <f t="shared" si="19"/>
        <v>6389</v>
      </c>
      <c r="U9" s="149">
        <f t="shared" si="19"/>
        <v>6058</v>
      </c>
      <c r="V9" s="1111">
        <f t="shared" si="19"/>
        <v>24958</v>
      </c>
      <c r="W9" s="149">
        <f t="shared" si="19"/>
        <v>6495</v>
      </c>
      <c r="X9" s="149">
        <f t="shared" si="19"/>
        <v>6640</v>
      </c>
      <c r="Y9" s="149">
        <f t="shared" si="19"/>
        <v>6660</v>
      </c>
      <c r="Z9" s="149">
        <f t="shared" si="19"/>
        <v>6424</v>
      </c>
      <c r="AA9" s="1111">
        <f t="shared" si="19"/>
        <v>26219</v>
      </c>
      <c r="AB9" s="149">
        <f t="shared" si="19"/>
        <v>6824</v>
      </c>
      <c r="AC9" s="149">
        <f t="shared" si="19"/>
        <v>7131</v>
      </c>
      <c r="AD9" s="149">
        <f t="shared" si="19"/>
        <v>7062</v>
      </c>
      <c r="AE9" s="149">
        <f t="shared" si="19"/>
        <v>6691</v>
      </c>
      <c r="AF9" s="1111">
        <f t="shared" si="19"/>
        <v>27708</v>
      </c>
      <c r="AG9" s="149">
        <f t="shared" si="19"/>
        <v>7057</v>
      </c>
      <c r="AH9" s="149">
        <f t="shared" si="19"/>
        <v>7450</v>
      </c>
      <c r="AI9" s="149">
        <f t="shared" si="19"/>
        <v>7569</v>
      </c>
      <c r="AJ9" s="149">
        <f t="shared" si="19"/>
        <v>7075</v>
      </c>
      <c r="AK9" s="1111">
        <f t="shared" si="19"/>
        <v>29151</v>
      </c>
      <c r="AL9" s="149">
        <f t="shared" si="19"/>
        <v>7346</v>
      </c>
      <c r="AM9" s="149">
        <f t="shared" si="19"/>
        <v>7346</v>
      </c>
      <c r="AN9" s="149">
        <f>INDEX(MO_UI_NWP,0,COLUMN())</f>
        <v>7771</v>
      </c>
      <c r="AO9" s="149">
        <f t="shared" si="19"/>
        <v>7269</v>
      </c>
      <c r="AP9" s="1111">
        <f t="shared" si="19"/>
        <v>29732</v>
      </c>
      <c r="AQ9" s="149">
        <f t="shared" si="19"/>
        <v>7505</v>
      </c>
      <c r="AR9" s="149">
        <f t="shared" si="20" ref="AR9:AW9">INDEX(MO_UI_NWP,0,COLUMN())</f>
        <v>8135</v>
      </c>
      <c r="AS9" s="149">
        <f t="shared" si="20"/>
        <v>8324</v>
      </c>
      <c r="AT9" s="149">
        <f t="shared" si="20"/>
        <v>8002</v>
      </c>
      <c r="AU9" s="1111">
        <f t="shared" si="20"/>
        <v>31966</v>
      </c>
      <c r="AV9" s="149">
        <f t="shared" si="20"/>
        <v>8367</v>
      </c>
      <c r="AW9" s="149">
        <f t="shared" si="20"/>
        <v>9020</v>
      </c>
      <c r="AX9" s="149">
        <f t="shared" si="21" ref="AX9:BB9">INDEX(MO_UI_NWP,0,COLUMN())</f>
        <v>9198</v>
      </c>
      <c r="AY9" s="149">
        <f t="shared" si="21"/>
        <v>8829</v>
      </c>
      <c r="AZ9" s="1111">
        <f t="shared" si="21"/>
        <v>35414</v>
      </c>
      <c r="BA9" s="149">
        <f t="shared" si="21"/>
        <v>9396</v>
      </c>
      <c r="BB9" s="149">
        <f t="shared" si="21"/>
        <v>10318</v>
      </c>
      <c r="BC9" s="149">
        <f t="shared" si="22" ref="BC9:BJ9">INDEX(MO_UI_NWP,0,COLUMN())</f>
        <v>10493</v>
      </c>
      <c r="BD9" s="149">
        <f t="shared" si="22"/>
        <v>9994</v>
      </c>
      <c r="BE9" s="1111">
        <f t="shared" si="22"/>
        <v>40201</v>
      </c>
      <c r="BF9" s="149">
        <f t="shared" si="22"/>
        <v>10184</v>
      </c>
      <c r="BG9" s="149">
        <f t="shared" si="22"/>
        <v>11115</v>
      </c>
      <c r="BH9" s="787">
        <f>INDEX(MO_UI_NWP,0,COLUMN())</f>
        <v>11317</v>
      </c>
      <c r="BI9" s="149">
        <f t="shared" si="22"/>
        <v>10343.984399999999</v>
      </c>
      <c r="BJ9" s="1111">
        <f t="shared" si="22"/>
        <v>42959.984400000001</v>
      </c>
      <c r="BK9" s="149">
        <f t="shared" si="23" ref="BK9:BR9">INDEX(MO_UI_NWP,0,COLUMN())</f>
        <v>11150.936300000001</v>
      </c>
      <c r="BL9" s="149">
        <f t="shared" si="23"/>
        <v>11740.919650000002</v>
      </c>
      <c r="BM9" s="149">
        <f t="shared" si="23"/>
        <v>12032.73675</v>
      </c>
      <c r="BN9" s="149">
        <f t="shared" si="23"/>
        <v>10778.991096</v>
      </c>
      <c r="BO9" s="1111">
        <f t="shared" si="23"/>
        <v>45703.583796000006</v>
      </c>
      <c r="BP9" s="1111">
        <f t="shared" si="23"/>
        <v>46551.730231379996</v>
      </c>
      <c r="BQ9" s="1111">
        <f t="shared" si="23"/>
        <v>48227.430306756287</v>
      </c>
      <c r="BR9" s="1111">
        <f t="shared" si="23"/>
        <v>49984.677925174765</v>
      </c>
      <c r="BS9" s="840"/>
    </row>
    <row r="10" spans="1:71" s="54" customFormat="1" ht="15">
      <c r="A10" s="225" t="str">
        <f>INDEX(MO_UI_NEP,0,COLUMN())</f>
        <v>Total Net Earned Premiums, mm</v>
      </c>
      <c r="B10" s="232"/>
      <c r="C10" s="1111">
        <f t="shared" si="24" ref="C10:AQ10">INDEX(MO_UI_NEP,0,COLUMN())</f>
        <v>21418</v>
      </c>
      <c r="D10" s="1111">
        <f t="shared" si="24"/>
        <v>21432</v>
      </c>
      <c r="E10" s="1111">
        <f t="shared" si="24"/>
        <v>22090</v>
      </c>
      <c r="F10" s="1111">
        <f t="shared" si="24"/>
        <v>22357</v>
      </c>
      <c r="G10" s="1111">
        <f t="shared" si="24"/>
        <v>22637</v>
      </c>
      <c r="H10" s="149">
        <f t="shared" si="24"/>
        <v>5823</v>
      </c>
      <c r="I10" s="149">
        <f t="shared" si="24"/>
        <v>5928</v>
      </c>
      <c r="J10" s="149">
        <f t="shared" si="24"/>
        <v>5983</v>
      </c>
      <c r="K10" s="149">
        <f t="shared" si="24"/>
        <v>5979</v>
      </c>
      <c r="L10" s="1111">
        <f t="shared" si="24"/>
        <v>23713</v>
      </c>
      <c r="M10" s="149">
        <f t="shared" si="24"/>
        <v>5888</v>
      </c>
      <c r="N10" s="149">
        <f t="shared" si="24"/>
        <v>5931</v>
      </c>
      <c r="O10" s="149">
        <f t="shared" si="24"/>
        <v>6032</v>
      </c>
      <c r="P10" s="149">
        <f t="shared" si="24"/>
        <v>6023</v>
      </c>
      <c r="Q10" s="1111">
        <f t="shared" si="24"/>
        <v>23874</v>
      </c>
      <c r="R10" s="149">
        <f t="shared" si="24"/>
        <v>5981</v>
      </c>
      <c r="S10" s="149">
        <f t="shared" si="24"/>
        <v>6067</v>
      </c>
      <c r="T10" s="149">
        <f t="shared" si="24"/>
        <v>6209</v>
      </c>
      <c r="U10" s="149">
        <f t="shared" si="24"/>
        <v>6277</v>
      </c>
      <c r="V10" s="1111">
        <f t="shared" si="24"/>
        <v>24534</v>
      </c>
      <c r="W10" s="149">
        <f t="shared" si="24"/>
        <v>6183</v>
      </c>
      <c r="X10" s="149">
        <f t="shared" si="24"/>
        <v>6351</v>
      </c>
      <c r="Y10" s="149">
        <f t="shared" si="24"/>
        <v>6523</v>
      </c>
      <c r="Z10" s="149">
        <f t="shared" si="24"/>
        <v>6626</v>
      </c>
      <c r="AA10" s="1111">
        <f t="shared" si="24"/>
        <v>25683</v>
      </c>
      <c r="AB10" s="149">
        <f t="shared" si="24"/>
        <v>6537</v>
      </c>
      <c r="AC10" s="149">
        <f t="shared" si="24"/>
        <v>6695</v>
      </c>
      <c r="AD10" s="149">
        <f t="shared" si="24"/>
        <v>6882</v>
      </c>
      <c r="AE10" s="149">
        <f t="shared" si="24"/>
        <v>6945</v>
      </c>
      <c r="AF10" s="1111">
        <f t="shared" si="24"/>
        <v>27059</v>
      </c>
      <c r="AG10" s="149">
        <f t="shared" si="24"/>
        <v>6855</v>
      </c>
      <c r="AH10" s="149">
        <f t="shared" si="24"/>
        <v>6988</v>
      </c>
      <c r="AI10" s="149">
        <f t="shared" si="24"/>
        <v>7179</v>
      </c>
      <c r="AJ10" s="149">
        <f t="shared" si="24"/>
        <v>7250</v>
      </c>
      <c r="AK10" s="1111">
        <f t="shared" si="24"/>
        <v>28272</v>
      </c>
      <c r="AL10" s="149">
        <f t="shared" si="24"/>
        <v>7229</v>
      </c>
      <c r="AM10" s="149">
        <f t="shared" si="24"/>
        <v>6955</v>
      </c>
      <c r="AN10" s="149">
        <f>INDEX(MO_UI_NEP,0,COLUMN())</f>
        <v>7380</v>
      </c>
      <c r="AO10" s="149">
        <f t="shared" si="24"/>
        <v>7480</v>
      </c>
      <c r="AP10" s="1111">
        <f t="shared" si="24"/>
        <v>29044</v>
      </c>
      <c r="AQ10" s="149">
        <f t="shared" si="24"/>
        <v>7386</v>
      </c>
      <c r="AR10" s="149">
        <f t="shared" si="25" ref="AR10:AW10">INDEX(MO_UI_NEP,0,COLUMN())</f>
        <v>7616</v>
      </c>
      <c r="AS10" s="149">
        <f t="shared" si="25"/>
        <v>7829</v>
      </c>
      <c r="AT10" s="149">
        <f t="shared" si="25"/>
        <v>8024</v>
      </c>
      <c r="AU10" s="1111">
        <f t="shared" si="25"/>
        <v>30855</v>
      </c>
      <c r="AV10" s="149">
        <f t="shared" si="25"/>
        <v>8014</v>
      </c>
      <c r="AW10" s="149">
        <f t="shared" si="25"/>
        <v>8317</v>
      </c>
      <c r="AX10" s="149">
        <f t="shared" si="26" ref="AX10:BB10">INDEX(MO_UI_NEP,0,COLUMN())</f>
        <v>8615</v>
      </c>
      <c r="AY10" s="149">
        <f t="shared" si="26"/>
        <v>8817</v>
      </c>
      <c r="AZ10" s="1111">
        <f t="shared" si="26"/>
        <v>33763</v>
      </c>
      <c r="BA10" s="149">
        <f t="shared" si="26"/>
        <v>8854</v>
      </c>
      <c r="BB10" s="149">
        <f t="shared" si="26"/>
        <v>9216</v>
      </c>
      <c r="BC10" s="149">
        <f t="shared" si="27" ref="BC10:BJ10">INDEX(MO_UI_NEP,0,COLUMN())</f>
        <v>9718</v>
      </c>
      <c r="BD10" s="149">
        <f t="shared" si="27"/>
        <v>9973</v>
      </c>
      <c r="BE10" s="1111">
        <f t="shared" si="27"/>
        <v>37761</v>
      </c>
      <c r="BF10" s="149">
        <f t="shared" si="27"/>
        <v>10126</v>
      </c>
      <c r="BG10" s="149">
        <f t="shared" si="27"/>
        <v>10243</v>
      </c>
      <c r="BH10" s="787">
        <f>INDEX(MO_UI_NEP,0,COLUMN())</f>
        <v>10704</v>
      </c>
      <c r="BI10" s="149">
        <f t="shared" si="27"/>
        <v>10189.502906</v>
      </c>
      <c r="BJ10" s="1111">
        <f t="shared" si="27"/>
        <v>41262.502906000002</v>
      </c>
      <c r="BK10" s="149">
        <f t="shared" si="28" ref="BK10:BR10">INDEX(MO_UI_NEP,0,COLUMN())</f>
        <v>10806.459526000001</v>
      </c>
      <c r="BL10" s="149">
        <f t="shared" si="28"/>
        <v>11569.242586</v>
      </c>
      <c r="BM10" s="149">
        <f t="shared" si="28"/>
        <v>11856.311720000002</v>
      </c>
      <c r="BN10" s="149">
        <f t="shared" si="28"/>
        <v>10618.62828554</v>
      </c>
      <c r="BO10" s="1111">
        <f t="shared" si="28"/>
        <v>44850.642117540003</v>
      </c>
      <c r="BP10" s="1111">
        <f t="shared" si="28"/>
        <v>45057.243704854794</v>
      </c>
      <c r="BQ10" s="1111">
        <f t="shared" si="28"/>
        <v>46669.196112054196</v>
      </c>
      <c r="BR10" s="1111">
        <f t="shared" si="28"/>
        <v>48359.394029380543</v>
      </c>
      <c r="BS10" s="840"/>
    </row>
    <row r="11" spans="1:71" s="54" customFormat="1" ht="15">
      <c r="A11" s="225"/>
      <c r="B11" s="232"/>
      <c r="C11" s="1111"/>
      <c r="D11" s="1111"/>
      <c r="E11" s="1111"/>
      <c r="F11" s="1111"/>
      <c r="G11" s="1111"/>
      <c r="H11" s="149"/>
      <c r="I11" s="149"/>
      <c r="J11" s="149"/>
      <c r="K11" s="149"/>
      <c r="L11" s="1111"/>
      <c r="M11" s="149"/>
      <c r="N11" s="149"/>
      <c r="O11" s="149"/>
      <c r="P11" s="149"/>
      <c r="Q11" s="1111"/>
      <c r="R11" s="149"/>
      <c r="S11" s="149"/>
      <c r="T11" s="149"/>
      <c r="U11" s="149"/>
      <c r="V11" s="1111"/>
      <c r="W11" s="149"/>
      <c r="X11" s="149"/>
      <c r="Y11" s="149"/>
      <c r="Z11" s="149"/>
      <c r="AA11" s="1111"/>
      <c r="AB11" s="149"/>
      <c r="AC11" s="149"/>
      <c r="AD11" s="149"/>
      <c r="AE11" s="149"/>
      <c r="AF11" s="1111"/>
      <c r="AG11" s="149"/>
      <c r="AH11" s="149"/>
      <c r="AI11" s="149"/>
      <c r="AJ11" s="149"/>
      <c r="AK11" s="1111"/>
      <c r="AL11" s="149"/>
      <c r="AM11" s="149"/>
      <c r="AN11" s="149"/>
      <c r="AO11" s="149"/>
      <c r="AP11" s="1111"/>
      <c r="AQ11" s="149"/>
      <c r="AR11" s="149"/>
      <c r="AS11" s="149"/>
      <c r="AT11" s="149"/>
      <c r="AU11" s="1111"/>
      <c r="AV11" s="149"/>
      <c r="AW11" s="149"/>
      <c r="AX11" s="149"/>
      <c r="AY11" s="149"/>
      <c r="AZ11" s="1111"/>
      <c r="BA11" s="149"/>
      <c r="BB11" s="149"/>
      <c r="BC11" s="149"/>
      <c r="BD11" s="149"/>
      <c r="BE11" s="1111"/>
      <c r="BF11" s="149"/>
      <c r="BG11" s="149"/>
      <c r="BH11" s="787"/>
      <c r="BI11" s="149"/>
      <c r="BJ11" s="1111"/>
      <c r="BK11" s="149"/>
      <c r="BL11" s="149"/>
      <c r="BM11" s="149"/>
      <c r="BN11" s="149"/>
      <c r="BO11" s="1111"/>
      <c r="BP11" s="1111"/>
      <c r="BQ11" s="1111"/>
      <c r="BR11" s="1111"/>
      <c r="BS11" s="840"/>
    </row>
    <row r="12" spans="1:71" s="53" customFormat="1" ht="15">
      <c r="A12" s="226" t="str">
        <f>INDEX(MO_UI_Loss,0,COLUMN())</f>
        <v>Total Loss and LAE, mm</v>
      </c>
      <c r="B12" s="227"/>
      <c r="C12" s="1112">
        <f t="shared" si="29" ref="C12:AQ12">INDEX(MO_UI_Loss,0,COLUMN())</f>
        <v>12408</v>
      </c>
      <c r="D12" s="1112">
        <f t="shared" si="29"/>
        <v>13210</v>
      </c>
      <c r="E12" s="1112">
        <f t="shared" si="29"/>
        <v>16276</v>
      </c>
      <c r="F12" s="1112">
        <f t="shared" si="29"/>
        <v>14676</v>
      </c>
      <c r="G12" s="1112">
        <f t="shared" si="29"/>
        <v>13307</v>
      </c>
      <c r="H12" s="151">
        <f t="shared" si="29"/>
        <v>3315</v>
      </c>
      <c r="I12" s="151">
        <f t="shared" si="29"/>
        <v>3826</v>
      </c>
      <c r="J12" s="151">
        <f t="shared" si="29"/>
        <v>3520</v>
      </c>
      <c r="K12" s="151">
        <f t="shared" si="29"/>
        <v>3209</v>
      </c>
      <c r="L12" s="1112">
        <f t="shared" si="29"/>
        <v>13870</v>
      </c>
      <c r="M12" s="151">
        <f t="shared" si="29"/>
        <v>3431</v>
      </c>
      <c r="N12" s="151">
        <f t="shared" si="29"/>
        <v>3547</v>
      </c>
      <c r="O12" s="151">
        <f t="shared" si="29"/>
        <v>3382</v>
      </c>
      <c r="P12" s="151">
        <f t="shared" si="29"/>
        <v>3363</v>
      </c>
      <c r="Q12" s="1112">
        <f t="shared" si="29"/>
        <v>13723</v>
      </c>
      <c r="R12" s="151">
        <f t="shared" si="29"/>
        <v>3712</v>
      </c>
      <c r="S12" s="151">
        <f t="shared" si="29"/>
        <v>3762</v>
      </c>
      <c r="T12" s="151">
        <f t="shared" si="29"/>
        <v>3856</v>
      </c>
      <c r="U12" s="151">
        <f t="shared" si="29"/>
        <v>3740</v>
      </c>
      <c r="V12" s="1112">
        <f t="shared" si="29"/>
        <v>15070</v>
      </c>
      <c r="W12" s="151">
        <f t="shared" si="29"/>
        <v>4094</v>
      </c>
      <c r="X12" s="151">
        <f t="shared" si="29"/>
        <v>4225</v>
      </c>
      <c r="Y12" s="151">
        <f t="shared" si="29"/>
        <v>4806</v>
      </c>
      <c r="Z12" s="151">
        <f t="shared" si="29"/>
        <v>4342</v>
      </c>
      <c r="AA12" s="1112">
        <f t="shared" si="29"/>
        <v>17467</v>
      </c>
      <c r="AB12" s="151">
        <f t="shared" si="29"/>
        <v>4296</v>
      </c>
      <c r="AC12" s="151">
        <f t="shared" si="29"/>
        <v>4562</v>
      </c>
      <c r="AD12" s="151">
        <f t="shared" si="29"/>
        <v>4655</v>
      </c>
      <c r="AE12" s="151">
        <f t="shared" si="29"/>
        <v>4778</v>
      </c>
      <c r="AF12" s="1112">
        <f t="shared" si="29"/>
        <v>18291</v>
      </c>
      <c r="AG12" s="151">
        <f t="shared" si="29"/>
        <v>4442</v>
      </c>
      <c r="AH12" s="151">
        <f t="shared" si="29"/>
        <v>4821</v>
      </c>
      <c r="AI12" s="151">
        <f t="shared" si="29"/>
        <v>5230</v>
      </c>
      <c r="AJ12" s="151">
        <f t="shared" si="29"/>
        <v>4640</v>
      </c>
      <c r="AK12" s="1112">
        <f t="shared" si="29"/>
        <v>19133</v>
      </c>
      <c r="AL12" s="151">
        <f t="shared" si="29"/>
        <v>4789</v>
      </c>
      <c r="AM12" s="151">
        <f t="shared" si="29"/>
        <v>5107</v>
      </c>
      <c r="AN12" s="151">
        <f>INDEX(MO_UI_Loss,0,COLUMN())</f>
        <v>4886</v>
      </c>
      <c r="AO12" s="151">
        <f t="shared" si="29"/>
        <v>4341</v>
      </c>
      <c r="AP12" s="1112">
        <f t="shared" si="29"/>
        <v>19123</v>
      </c>
      <c r="AQ12" s="151">
        <f t="shared" si="29"/>
        <v>4970</v>
      </c>
      <c r="AR12" s="151">
        <f t="shared" si="30" ref="AR12:AW12">INDEX(MO_UI_Loss,0,COLUMN())</f>
        <v>5045</v>
      </c>
      <c r="AS12" s="151">
        <f t="shared" si="30"/>
        <v>5464</v>
      </c>
      <c r="AT12" s="151">
        <f t="shared" si="30"/>
        <v>4819</v>
      </c>
      <c r="AU12" s="1112">
        <f t="shared" si="30"/>
        <v>20298</v>
      </c>
      <c r="AV12" s="151">
        <f t="shared" si="30"/>
        <v>5039</v>
      </c>
      <c r="AW12" s="151">
        <f t="shared" si="30"/>
        <v>5803</v>
      </c>
      <c r="AX12" s="151">
        <f t="shared" si="31" ref="AX12:BB12">INDEX(MO_UI_Loss,0,COLUMN())</f>
        <v>6088</v>
      </c>
      <c r="AY12" s="151">
        <f t="shared" si="31"/>
        <v>5924</v>
      </c>
      <c r="AZ12" s="1112">
        <f t="shared" si="31"/>
        <v>22854</v>
      </c>
      <c r="BA12" s="151">
        <f t="shared" si="31"/>
        <v>5959</v>
      </c>
      <c r="BB12" s="151">
        <f t="shared" si="31"/>
        <v>7227</v>
      </c>
      <c r="BC12" s="151">
        <f t="shared" si="32" ref="BC12:BJ12">INDEX(MO_UI_Loss,0,COLUMN())</f>
        <v>7149</v>
      </c>
      <c r="BD12" s="151">
        <f t="shared" si="32"/>
        <v>5880</v>
      </c>
      <c r="BE12" s="1112">
        <f t="shared" si="32"/>
        <v>26215</v>
      </c>
      <c r="BF12" s="151">
        <f t="shared" si="32"/>
        <v>6656</v>
      </c>
      <c r="BG12" s="151">
        <f t="shared" si="32"/>
        <v>7373</v>
      </c>
      <c r="BH12" s="788">
        <f>INDEX(MO_UI_Loss,0,COLUMN())</f>
        <v>6996</v>
      </c>
      <c r="BI12" s="151">
        <f t="shared" si="32"/>
        <v>6446.8624150480009</v>
      </c>
      <c r="BJ12" s="1112">
        <f t="shared" si="32"/>
        <v>27471.862415047999</v>
      </c>
      <c r="BK12" s="151">
        <f t="shared" si="33" ref="BK12:BR12">INDEX(MO_UI_Loss,0,COLUMN())</f>
        <v>6864.1226608760007</v>
      </c>
      <c r="BL12" s="151">
        <f t="shared" si="33"/>
        <v>7686.9697183070002</v>
      </c>
      <c r="BM12" s="151">
        <f t="shared" si="33"/>
        <v>7700.0018218750001</v>
      </c>
      <c r="BN12" s="151">
        <f t="shared" si="33"/>
        <v>6717.9122313938806</v>
      </c>
      <c r="BO12" s="1112">
        <f t="shared" si="33"/>
        <v>28969.006432451883</v>
      </c>
      <c r="BP12" s="1112">
        <f t="shared" si="33"/>
        <v>29263.263061557045</v>
      </c>
      <c r="BQ12" s="1112">
        <f t="shared" si="33"/>
        <v>29845.172860943087</v>
      </c>
      <c r="BR12" s="1112">
        <f t="shared" si="33"/>
        <v>31411.718779110251</v>
      </c>
      <c r="BS12" s="839"/>
    </row>
    <row r="13" spans="1:71" s="53" customFormat="1" ht="15">
      <c r="A13" s="226" t="str">
        <f>INDEX(MO_UI_PAE,0,COLUMN())</f>
        <v>Total Policy Acquisition Expense, mm</v>
      </c>
      <c r="B13" s="227"/>
      <c r="C13" s="1112">
        <f t="shared" si="34" ref="C13:AQ13">INDEX(MO_UI_PAE,0,COLUMN())</f>
        <v>3813</v>
      </c>
      <c r="D13" s="1112">
        <f t="shared" si="34"/>
        <v>3802</v>
      </c>
      <c r="E13" s="1112">
        <f t="shared" si="34"/>
        <v>3876</v>
      </c>
      <c r="F13" s="1112">
        <f t="shared" si="34"/>
        <v>3910</v>
      </c>
      <c r="G13" s="1112">
        <f t="shared" si="34"/>
        <v>3821</v>
      </c>
      <c r="H13" s="151">
        <f t="shared" si="34"/>
        <v>950</v>
      </c>
      <c r="I13" s="151">
        <f t="shared" si="34"/>
        <v>965</v>
      </c>
      <c r="J13" s="151">
        <f t="shared" si="34"/>
        <v>984</v>
      </c>
      <c r="K13" s="151">
        <f t="shared" si="34"/>
        <v>983</v>
      </c>
      <c r="L13" s="1112">
        <f t="shared" si="34"/>
        <v>3882</v>
      </c>
      <c r="M13" s="151">
        <f t="shared" si="34"/>
        <v>963</v>
      </c>
      <c r="N13" s="151">
        <f t="shared" si="34"/>
        <v>963</v>
      </c>
      <c r="O13" s="151">
        <f t="shared" si="34"/>
        <v>987</v>
      </c>
      <c r="P13" s="151">
        <f t="shared" si="34"/>
        <v>972</v>
      </c>
      <c r="Q13" s="1112">
        <f t="shared" si="34"/>
        <v>3885</v>
      </c>
      <c r="R13" s="151">
        <f t="shared" si="34"/>
        <v>971</v>
      </c>
      <c r="S13" s="151">
        <f t="shared" si="34"/>
        <v>989</v>
      </c>
      <c r="T13" s="151">
        <f t="shared" si="34"/>
        <v>1012</v>
      </c>
      <c r="U13" s="151">
        <f t="shared" si="34"/>
        <v>1013</v>
      </c>
      <c r="V13" s="1112">
        <f t="shared" si="34"/>
        <v>3985</v>
      </c>
      <c r="W13" s="151">
        <f t="shared" si="34"/>
        <v>1003</v>
      </c>
      <c r="X13" s="151">
        <f t="shared" si="34"/>
        <v>1032</v>
      </c>
      <c r="Y13" s="151">
        <f t="shared" si="34"/>
        <v>1059</v>
      </c>
      <c r="Z13" s="151">
        <f t="shared" si="34"/>
        <v>1072</v>
      </c>
      <c r="AA13" s="1112">
        <f t="shared" si="34"/>
        <v>4166</v>
      </c>
      <c r="AB13" s="151">
        <f t="shared" si="34"/>
        <v>1061</v>
      </c>
      <c r="AC13" s="151">
        <f t="shared" si="34"/>
        <v>1081</v>
      </c>
      <c r="AD13" s="151">
        <f t="shared" si="34"/>
        <v>1117</v>
      </c>
      <c r="AE13" s="151">
        <f t="shared" si="34"/>
        <v>1122</v>
      </c>
      <c r="AF13" s="1112">
        <f t="shared" si="34"/>
        <v>4381</v>
      </c>
      <c r="AG13" s="151">
        <f t="shared" si="34"/>
        <v>1117</v>
      </c>
      <c r="AH13" s="151">
        <f t="shared" si="34"/>
        <v>1134</v>
      </c>
      <c r="AI13" s="151">
        <f t="shared" si="34"/>
        <v>1169</v>
      </c>
      <c r="AJ13" s="151">
        <f t="shared" si="34"/>
        <v>1181</v>
      </c>
      <c r="AK13" s="1112">
        <f t="shared" si="34"/>
        <v>4601</v>
      </c>
      <c r="AL13" s="151">
        <f t="shared" si="34"/>
        <v>1178</v>
      </c>
      <c r="AM13" s="151">
        <f t="shared" si="34"/>
        <v>1173</v>
      </c>
      <c r="AN13" s="151">
        <f>INDEX(MO_UI_PAE,0,COLUMN())</f>
        <v>1207</v>
      </c>
      <c r="AO13" s="151">
        <f t="shared" si="34"/>
        <v>1215</v>
      </c>
      <c r="AP13" s="1112">
        <f t="shared" si="34"/>
        <v>4773</v>
      </c>
      <c r="AQ13" s="151">
        <f t="shared" si="34"/>
        <v>1207</v>
      </c>
      <c r="AR13" s="151">
        <f t="shared" si="35" ref="AR13:AW13">INDEX(MO_UI_PAE,0,COLUMN())</f>
        <v>1254</v>
      </c>
      <c r="AS13" s="151">
        <f t="shared" si="35"/>
        <v>1281</v>
      </c>
      <c r="AT13" s="151">
        <f t="shared" si="35"/>
        <v>1301</v>
      </c>
      <c r="AU13" s="1112">
        <f t="shared" si="35"/>
        <v>5043</v>
      </c>
      <c r="AV13" s="151">
        <f t="shared" si="35"/>
        <v>1310</v>
      </c>
      <c r="AW13" s="151">
        <f t="shared" si="35"/>
        <v>1365</v>
      </c>
      <c r="AX13" s="151">
        <f t="shared" si="36" ref="AX13:BB13">INDEX(MO_UI_PAE,0,COLUMN())</f>
        <v>1406</v>
      </c>
      <c r="AY13" s="151">
        <f t="shared" si="36"/>
        <v>1434</v>
      </c>
      <c r="AZ13" s="1112">
        <f t="shared" si="36"/>
        <v>5515</v>
      </c>
      <c r="BA13" s="151">
        <f t="shared" si="36"/>
        <v>1462</v>
      </c>
      <c r="BB13" s="151">
        <f t="shared" si="36"/>
        <v>1519</v>
      </c>
      <c r="BC13" s="151">
        <f t="shared" si="37" ref="BC13:BJ13">INDEX(MO_UI_PAE,0,COLUMN())</f>
        <v>1604</v>
      </c>
      <c r="BD13" s="151">
        <f t="shared" si="37"/>
        <v>1641</v>
      </c>
      <c r="BE13" s="1112">
        <f t="shared" si="37"/>
        <v>6226</v>
      </c>
      <c r="BF13" s="151">
        <f t="shared" si="37"/>
        <v>1698</v>
      </c>
      <c r="BG13" s="151">
        <f t="shared" si="37"/>
        <v>1678</v>
      </c>
      <c r="BH13" s="788">
        <f>INDEX(MO_UI_PAE,0,COLUMN())</f>
        <v>1790</v>
      </c>
      <c r="BI13" s="151">
        <f t="shared" si="37"/>
        <v>1608.3653612399999</v>
      </c>
      <c r="BJ13" s="1112">
        <f t="shared" si="37"/>
        <v>6774.3653612399994</v>
      </c>
      <c r="BK13" s="151">
        <f t="shared" si="38" ref="BK13:BR13">INDEX(MO_UI_PAE,0,COLUMN())</f>
        <v>1779.3013017880003</v>
      </c>
      <c r="BL13" s="151">
        <f t="shared" si="38"/>
        <v>1902.025952299</v>
      </c>
      <c r="BM13" s="151">
        <f t="shared" si="38"/>
        <v>1948.9009908170001</v>
      </c>
      <c r="BN13" s="151">
        <f t="shared" si="38"/>
        <v>1675.1323659312002</v>
      </c>
      <c r="BO13" s="1112">
        <f t="shared" si="38"/>
        <v>7305.3606108352005</v>
      </c>
      <c r="BP13" s="1112">
        <f t="shared" si="38"/>
        <v>7358.9070987948835</v>
      </c>
      <c r="BQ13" s="1112">
        <f t="shared" si="38"/>
        <v>7314.963116018288</v>
      </c>
      <c r="BR13" s="1112">
        <f t="shared" si="38"/>
        <v>7897.1701237441366</v>
      </c>
      <c r="BS13" s="839"/>
    </row>
    <row r="14" spans="1:71" s="53" customFormat="1" ht="15">
      <c r="A14" s="677" t="str">
        <f>INDEX(MO_UI_OOE,0,COLUMN())</f>
        <v>Total Other Operating Expenses, mm</v>
      </c>
      <c r="B14" s="233"/>
      <c r="C14" s="1113">
        <f t="shared" si="39" ref="C14:AQ14">INDEX(MO_UI_OOE,0,COLUMN())</f>
        <v>3329</v>
      </c>
      <c r="D14" s="1113">
        <f t="shared" si="39"/>
        <v>3379</v>
      </c>
      <c r="E14" s="1113">
        <f t="shared" si="39"/>
        <v>3500</v>
      </c>
      <c r="F14" s="1113">
        <f t="shared" si="39"/>
        <v>3587</v>
      </c>
      <c r="G14" s="1113">
        <f t="shared" si="39"/>
        <v>3737</v>
      </c>
      <c r="H14" s="153">
        <f t="shared" si="39"/>
        <v>874</v>
      </c>
      <c r="I14" s="153">
        <f t="shared" si="39"/>
        <v>992</v>
      </c>
      <c r="J14" s="153">
        <f t="shared" si="39"/>
        <v>1025</v>
      </c>
      <c r="K14" s="153">
        <f t="shared" si="39"/>
        <v>1030</v>
      </c>
      <c r="L14" s="1113">
        <f t="shared" si="39"/>
        <v>3921</v>
      </c>
      <c r="M14" s="153">
        <f t="shared" si="39"/>
        <v>988</v>
      </c>
      <c r="N14" s="153">
        <f t="shared" si="39"/>
        <v>1025</v>
      </c>
      <c r="O14" s="153">
        <f t="shared" si="39"/>
        <v>1020</v>
      </c>
      <c r="P14" s="153">
        <f t="shared" si="39"/>
        <v>1030</v>
      </c>
      <c r="Q14" s="1113">
        <f t="shared" si="39"/>
        <v>4063</v>
      </c>
      <c r="R14" s="153">
        <f t="shared" si="39"/>
        <v>987</v>
      </c>
      <c r="S14" s="153">
        <f t="shared" si="39"/>
        <v>1047</v>
      </c>
      <c r="T14" s="153">
        <f t="shared" si="39"/>
        <v>1049</v>
      </c>
      <c r="U14" s="153">
        <f t="shared" si="39"/>
        <v>1040</v>
      </c>
      <c r="V14" s="1113">
        <f t="shared" si="39"/>
        <v>4123</v>
      </c>
      <c r="W14" s="153">
        <f t="shared" si="39"/>
        <v>988</v>
      </c>
      <c r="X14" s="153">
        <f t="shared" si="39"/>
        <v>1037</v>
      </c>
      <c r="Y14" s="153">
        <f t="shared" si="39"/>
        <v>1038</v>
      </c>
      <c r="Z14" s="153">
        <f t="shared" si="39"/>
        <v>1075</v>
      </c>
      <c r="AA14" s="1113">
        <f t="shared" si="39"/>
        <v>4138</v>
      </c>
      <c r="AB14" s="153">
        <f t="shared" si="39"/>
        <v>1053</v>
      </c>
      <c r="AC14" s="153">
        <f t="shared" si="39"/>
        <v>1106</v>
      </c>
      <c r="AD14" s="153">
        <f t="shared" si="39"/>
        <v>1051</v>
      </c>
      <c r="AE14" s="153">
        <f t="shared" si="39"/>
        <v>1057</v>
      </c>
      <c r="AF14" s="1113">
        <f t="shared" si="39"/>
        <v>4267</v>
      </c>
      <c r="AG14" s="153">
        <f t="shared" si="39"/>
        <v>1049</v>
      </c>
      <c r="AH14" s="153">
        <f t="shared" si="39"/>
        <v>1117</v>
      </c>
      <c r="AI14" s="153">
        <f t="shared" si="39"/>
        <v>1090</v>
      </c>
      <c r="AJ14" s="153">
        <f t="shared" si="39"/>
        <v>1074</v>
      </c>
      <c r="AK14" s="1113">
        <f t="shared" si="39"/>
        <v>4330</v>
      </c>
      <c r="AL14" s="153">
        <f t="shared" si="39"/>
        <v>1130</v>
      </c>
      <c r="AM14" s="153">
        <f t="shared" si="39"/>
        <v>1112</v>
      </c>
      <c r="AN14" s="153">
        <f>INDEX(MO_UI_OOE,0,COLUMN())</f>
        <v>1103</v>
      </c>
      <c r="AO14" s="153">
        <f t="shared" si="39"/>
        <v>1133</v>
      </c>
      <c r="AP14" s="1113">
        <f t="shared" si="39"/>
        <v>4478</v>
      </c>
      <c r="AQ14" s="153">
        <f t="shared" si="39"/>
        <v>1157</v>
      </c>
      <c r="AR14" s="153">
        <f t="shared" si="40" ref="AR14:AW14">INDEX(MO_UI_OOE,0,COLUMN())</f>
        <v>1166</v>
      </c>
      <c r="AS14" s="153">
        <f t="shared" si="40"/>
        <v>1179</v>
      </c>
      <c r="AT14" s="153">
        <f t="shared" si="40"/>
        <v>1146</v>
      </c>
      <c r="AU14" s="1113">
        <f t="shared" si="40"/>
        <v>4648</v>
      </c>
      <c r="AV14" s="153">
        <f t="shared" si="40"/>
        <v>1183</v>
      </c>
      <c r="AW14" s="153">
        <f t="shared" si="40"/>
        <v>1214</v>
      </c>
      <c r="AX14" s="153">
        <f t="shared" si="41" ref="AX14:BB14">INDEX(MO_UI_OOE,0,COLUMN())</f>
        <v>1185</v>
      </c>
      <c r="AY14" s="153">
        <f t="shared" si="41"/>
        <v>1197</v>
      </c>
      <c r="AZ14" s="1113">
        <f t="shared" si="41"/>
        <v>4779</v>
      </c>
      <c r="BA14" s="153">
        <f t="shared" si="41"/>
        <v>1258</v>
      </c>
      <c r="BB14" s="153">
        <f t="shared" si="41"/>
        <v>1298</v>
      </c>
      <c r="BC14" s="153">
        <f t="shared" si="42" ref="BC14:BJ14">INDEX(MO_UI_OOE,0,COLUMN())</f>
        <v>1303</v>
      </c>
      <c r="BD14" s="153">
        <f t="shared" si="42"/>
        <v>1280</v>
      </c>
      <c r="BE14" s="1113">
        <f t="shared" si="42"/>
        <v>5139</v>
      </c>
      <c r="BF14" s="153">
        <f t="shared" si="42"/>
        <v>1398</v>
      </c>
      <c r="BG14" s="153">
        <f t="shared" si="42"/>
        <v>1466</v>
      </c>
      <c r="BH14" s="789">
        <f>INDEX(MO_UI_OOE,0,COLUMN())</f>
        <v>1449</v>
      </c>
      <c r="BI14" s="153">
        <f t="shared" si="42"/>
        <v>1485.3349093000002</v>
      </c>
      <c r="BJ14" s="1113">
        <f t="shared" si="42"/>
        <v>5798.3349092999997</v>
      </c>
      <c r="BK14" s="153">
        <f t="shared" si="43" ref="BK14:BR14">INDEX(MO_UI_OOE,0,COLUMN())</f>
        <v>1606.6739965400002</v>
      </c>
      <c r="BL14" s="153">
        <f t="shared" si="43"/>
        <v>1771.2838385549999</v>
      </c>
      <c r="BM14" s="153">
        <f t="shared" si="43"/>
        <v>1808.0047740149998</v>
      </c>
      <c r="BN14" s="153">
        <f t="shared" si="43"/>
        <v>1543.4733887386001</v>
      </c>
      <c r="BO14" s="1113">
        <f t="shared" si="43"/>
        <v>6729.4359978486</v>
      </c>
      <c r="BP14" s="1113">
        <f t="shared" si="43"/>
        <v>6890.1938063976049</v>
      </c>
      <c r="BQ14" s="1113">
        <f t="shared" si="43"/>
        <v>7112.1761669246534</v>
      </c>
      <c r="BR14" s="1113">
        <f t="shared" si="43"/>
        <v>7344.2281378713196</v>
      </c>
      <c r="BS14" s="839"/>
    </row>
    <row r="15" spans="1:71" s="54" customFormat="1" ht="15">
      <c r="A15" s="228" t="str">
        <f>INDEX(MO_UI_UnderwritingExpense,0,COLUMN())</f>
        <v>Total Combined Underwriting Expenses, mm</v>
      </c>
      <c r="B15" s="229"/>
      <c r="C15" s="1110">
        <f t="shared" si="44" ref="C15:AQ15">ROUND(INDEX(SP_UI_Loss,0,COLUMN())+INDEX(SP_UI_PAE,0,COLUMN())+INDEX(SP_UI_OOE,0,COLUMN()),6)</f>
        <v>19550</v>
      </c>
      <c r="D15" s="1110">
        <f t="shared" si="44"/>
        <v>20391</v>
      </c>
      <c r="E15" s="1110">
        <f t="shared" si="44"/>
        <v>23652</v>
      </c>
      <c r="F15" s="1110">
        <f t="shared" si="44"/>
        <v>22173</v>
      </c>
      <c r="G15" s="1110">
        <f t="shared" si="44"/>
        <v>20865</v>
      </c>
      <c r="H15" s="161">
        <f t="shared" si="44"/>
        <v>5139</v>
      </c>
      <c r="I15" s="161">
        <f t="shared" si="44"/>
        <v>5783</v>
      </c>
      <c r="J15" s="161">
        <f t="shared" si="44"/>
        <v>5529</v>
      </c>
      <c r="K15" s="161">
        <f t="shared" si="44"/>
        <v>5222</v>
      </c>
      <c r="L15" s="1110">
        <f t="shared" si="44"/>
        <v>21673</v>
      </c>
      <c r="M15" s="161">
        <f t="shared" si="44"/>
        <v>5382</v>
      </c>
      <c r="N15" s="161">
        <f t="shared" si="44"/>
        <v>5535</v>
      </c>
      <c r="O15" s="161">
        <f t="shared" si="44"/>
        <v>5389</v>
      </c>
      <c r="P15" s="161">
        <f t="shared" si="44"/>
        <v>5365</v>
      </c>
      <c r="Q15" s="1110">
        <f t="shared" si="44"/>
        <v>21671</v>
      </c>
      <c r="R15" s="161">
        <f t="shared" si="44"/>
        <v>5670</v>
      </c>
      <c r="S15" s="161">
        <f t="shared" si="44"/>
        <v>5798</v>
      </c>
      <c r="T15" s="161">
        <f t="shared" si="44"/>
        <v>5917</v>
      </c>
      <c r="U15" s="161">
        <f t="shared" si="44"/>
        <v>5793</v>
      </c>
      <c r="V15" s="1110">
        <f t="shared" si="44"/>
        <v>23178</v>
      </c>
      <c r="W15" s="161">
        <f t="shared" si="44"/>
        <v>6085</v>
      </c>
      <c r="X15" s="161">
        <f t="shared" si="44"/>
        <v>6294</v>
      </c>
      <c r="Y15" s="161">
        <f t="shared" si="44"/>
        <v>6903</v>
      </c>
      <c r="Z15" s="161">
        <f t="shared" si="44"/>
        <v>6489</v>
      </c>
      <c r="AA15" s="1110">
        <f t="shared" si="44"/>
        <v>25771</v>
      </c>
      <c r="AB15" s="161">
        <f t="shared" si="44"/>
        <v>6410</v>
      </c>
      <c r="AC15" s="161">
        <f t="shared" si="44"/>
        <v>6749</v>
      </c>
      <c r="AD15" s="161">
        <f t="shared" si="44"/>
        <v>6823</v>
      </c>
      <c r="AE15" s="161">
        <f t="shared" si="44"/>
        <v>6957</v>
      </c>
      <c r="AF15" s="1110">
        <f t="shared" si="44"/>
        <v>26939</v>
      </c>
      <c r="AG15" s="161">
        <f t="shared" si="44"/>
        <v>6608</v>
      </c>
      <c r="AH15" s="161">
        <f t="shared" si="44"/>
        <v>7072</v>
      </c>
      <c r="AI15" s="161">
        <f t="shared" si="44"/>
        <v>7489</v>
      </c>
      <c r="AJ15" s="161">
        <f t="shared" si="44"/>
        <v>6895</v>
      </c>
      <c r="AK15" s="1110">
        <f t="shared" si="44"/>
        <v>28064</v>
      </c>
      <c r="AL15" s="161">
        <f t="shared" si="44"/>
        <v>7097</v>
      </c>
      <c r="AM15" s="161">
        <f t="shared" si="44"/>
        <v>7392</v>
      </c>
      <c r="AN15" s="161">
        <f>ROUND(INDEX(SP_UI_Loss,0,COLUMN())+INDEX(SP_UI_PAE,0,COLUMN())+INDEX(SP_UI_OOE,0,COLUMN()),6)</f>
        <v>7196</v>
      </c>
      <c r="AO15" s="161">
        <f t="shared" si="44"/>
        <v>6689</v>
      </c>
      <c r="AP15" s="1110">
        <f t="shared" si="44"/>
        <v>28374</v>
      </c>
      <c r="AQ15" s="161">
        <f t="shared" si="44"/>
        <v>7334</v>
      </c>
      <c r="AR15" s="161">
        <f t="shared" si="45" ref="AR15:AW15">ROUND(INDEX(SP_UI_Loss,0,COLUMN())+INDEX(SP_UI_PAE,0,COLUMN())+INDEX(SP_UI_OOE,0,COLUMN()),6)</f>
        <v>7465</v>
      </c>
      <c r="AS15" s="161">
        <f t="shared" si="45"/>
        <v>7924</v>
      </c>
      <c r="AT15" s="161">
        <f t="shared" si="45"/>
        <v>7266</v>
      </c>
      <c r="AU15" s="1110">
        <f t="shared" si="45"/>
        <v>29989</v>
      </c>
      <c r="AV15" s="161">
        <f t="shared" si="45"/>
        <v>7532</v>
      </c>
      <c r="AW15" s="161">
        <f t="shared" si="45"/>
        <v>8382</v>
      </c>
      <c r="AX15" s="161">
        <f t="shared" si="46" ref="AX15:BB15">ROUND(INDEX(SP_UI_Loss,0,COLUMN())+INDEX(SP_UI_PAE,0,COLUMN())+INDEX(SP_UI_OOE,0,COLUMN()),6)</f>
        <v>8679</v>
      </c>
      <c r="AY15" s="161">
        <f t="shared" si="46"/>
        <v>8555</v>
      </c>
      <c r="AZ15" s="1110">
        <f t="shared" si="46"/>
        <v>33148</v>
      </c>
      <c r="BA15" s="161">
        <f t="shared" si="46"/>
        <v>8679</v>
      </c>
      <c r="BB15" s="161">
        <f t="shared" si="46"/>
        <v>10044</v>
      </c>
      <c r="BC15" s="161">
        <f t="shared" si="47" ref="BC15:BJ15">ROUND(INDEX(SP_UI_Loss,0,COLUMN())+INDEX(SP_UI_PAE,0,COLUMN())+INDEX(SP_UI_OOE,0,COLUMN()),6)</f>
        <v>10056</v>
      </c>
      <c r="BD15" s="161">
        <f t="shared" si="47"/>
        <v>8801</v>
      </c>
      <c r="BE15" s="1110">
        <f t="shared" si="47"/>
        <v>37580</v>
      </c>
      <c r="BF15" s="161">
        <f t="shared" si="47"/>
        <v>9752</v>
      </c>
      <c r="BG15" s="161">
        <f t="shared" si="47"/>
        <v>10517</v>
      </c>
      <c r="BH15" s="786">
        <f>ROUND(INDEX(SP_UI_Loss,0,COLUMN())+INDEX(SP_UI_PAE,0,COLUMN())+INDEX(SP_UI_OOE,0,COLUMN()),6)</f>
        <v>10235</v>
      </c>
      <c r="BI15" s="161">
        <f t="shared" si="47"/>
        <v>9540.5626859999993</v>
      </c>
      <c r="BJ15" s="1110">
        <f t="shared" si="47"/>
        <v>40044.562685999997</v>
      </c>
      <c r="BK15" s="161">
        <f t="shared" si="48" ref="BK15:BR15">ROUND(INDEX(SP_UI_Loss,0,COLUMN())+INDEX(SP_UI_PAE,0,COLUMN())+INDEX(SP_UI_OOE,0,COLUMN()),6)</f>
        <v>10250.097959000001</v>
      </c>
      <c r="BL15" s="161">
        <f t="shared" si="48"/>
        <v>11360.279509</v>
      </c>
      <c r="BM15" s="161">
        <f t="shared" si="48"/>
        <v>11456.907587</v>
      </c>
      <c r="BN15" s="161">
        <f t="shared" si="48"/>
        <v>9936.5179860000007</v>
      </c>
      <c r="BO15" s="1110">
        <f t="shared" si="48"/>
        <v>43003.803040999999</v>
      </c>
      <c r="BP15" s="1110">
        <f t="shared" si="48"/>
        <v>43512.363966999998</v>
      </c>
      <c r="BQ15" s="1110">
        <f t="shared" si="48"/>
        <v>44272.312144000003</v>
      </c>
      <c r="BR15" s="1110">
        <f t="shared" si="48"/>
        <v>46653.117040999998</v>
      </c>
      <c r="BS15" s="840"/>
    </row>
    <row r="16" spans="1:71" s="53" customFormat="1" ht="15">
      <c r="A16" s="234"/>
      <c r="B16" s="227"/>
      <c r="C16" s="1112"/>
      <c r="D16" s="1112"/>
      <c r="E16" s="1112"/>
      <c r="F16" s="1112"/>
      <c r="G16" s="1112"/>
      <c r="H16" s="151"/>
      <c r="I16" s="151"/>
      <c r="J16" s="151"/>
      <c r="K16" s="151"/>
      <c r="L16" s="1112"/>
      <c r="M16" s="151"/>
      <c r="N16" s="151"/>
      <c r="O16" s="151"/>
      <c r="P16" s="151"/>
      <c r="Q16" s="1112"/>
      <c r="R16" s="151"/>
      <c r="S16" s="151"/>
      <c r="T16" s="151"/>
      <c r="U16" s="151"/>
      <c r="V16" s="1112"/>
      <c r="W16" s="151"/>
      <c r="X16" s="151"/>
      <c r="Y16" s="151"/>
      <c r="Z16" s="151"/>
      <c r="AA16" s="1112"/>
      <c r="AB16" s="151"/>
      <c r="AC16" s="151"/>
      <c r="AD16" s="151"/>
      <c r="AE16" s="151"/>
      <c r="AF16" s="1112"/>
      <c r="AG16" s="151"/>
      <c r="AH16" s="151"/>
      <c r="AI16" s="151"/>
      <c r="AJ16" s="151"/>
      <c r="AK16" s="1112"/>
      <c r="AL16" s="151"/>
      <c r="AM16" s="151"/>
      <c r="AN16" s="151"/>
      <c r="AO16" s="151"/>
      <c r="AP16" s="1112"/>
      <c r="AQ16" s="151"/>
      <c r="AR16" s="151"/>
      <c r="AS16" s="151"/>
      <c r="AT16" s="151"/>
      <c r="AU16" s="1112"/>
      <c r="AV16" s="151"/>
      <c r="AW16" s="151"/>
      <c r="AX16" s="151"/>
      <c r="AY16" s="151"/>
      <c r="AZ16" s="1112"/>
      <c r="BA16" s="151"/>
      <c r="BB16" s="151"/>
      <c r="BC16" s="151"/>
      <c r="BD16" s="151"/>
      <c r="BE16" s="1112"/>
      <c r="BF16" s="151"/>
      <c r="BG16" s="151"/>
      <c r="BH16" s="788"/>
      <c r="BI16" s="151"/>
      <c r="BJ16" s="1112"/>
      <c r="BK16" s="151"/>
      <c r="BL16" s="151"/>
      <c r="BM16" s="151"/>
      <c r="BN16" s="151"/>
      <c r="BO16" s="1112"/>
      <c r="BP16" s="1112"/>
      <c r="BQ16" s="1112"/>
      <c r="BR16" s="1112"/>
      <c r="BS16" s="839"/>
    </row>
    <row r="17" spans="1:71" s="54" customFormat="1" ht="15">
      <c r="A17" s="225" t="str">
        <f>INDEX(MO_UI_UI,0,COLUMN())</f>
        <v>Total Underwriting Income, mm</v>
      </c>
      <c r="B17" s="232"/>
      <c r="C17" s="1111">
        <f t="shared" si="49" ref="C17:AQ17">ROUND(INDEX(SP_UI_NEP,0,COLUMN())-INDEX(SP_UI_UnderwritingExpense,0,COLUMN()),6)</f>
        <v>1868</v>
      </c>
      <c r="D17" s="1111">
        <f t="shared" si="49"/>
        <v>1041</v>
      </c>
      <c r="E17" s="1111">
        <f t="shared" si="49"/>
        <v>-1562</v>
      </c>
      <c r="F17" s="1111">
        <f t="shared" si="49"/>
        <v>184</v>
      </c>
      <c r="G17" s="1111">
        <f t="shared" si="49"/>
        <v>1772</v>
      </c>
      <c r="H17" s="149">
        <f t="shared" si="49"/>
        <v>684</v>
      </c>
      <c r="I17" s="149">
        <f t="shared" si="49"/>
        <v>145</v>
      </c>
      <c r="J17" s="149">
        <f t="shared" si="49"/>
        <v>454</v>
      </c>
      <c r="K17" s="149">
        <f t="shared" si="49"/>
        <v>757</v>
      </c>
      <c r="L17" s="1111">
        <f t="shared" si="49"/>
        <v>2040</v>
      </c>
      <c r="M17" s="149">
        <f t="shared" si="49"/>
        <v>506</v>
      </c>
      <c r="N17" s="149">
        <f t="shared" si="49"/>
        <v>396</v>
      </c>
      <c r="O17" s="149">
        <f t="shared" si="49"/>
        <v>643</v>
      </c>
      <c r="P17" s="149">
        <f t="shared" si="49"/>
        <v>658</v>
      </c>
      <c r="Q17" s="1111">
        <f t="shared" si="49"/>
        <v>2203</v>
      </c>
      <c r="R17" s="149">
        <f t="shared" si="49"/>
        <v>311</v>
      </c>
      <c r="S17" s="149">
        <f t="shared" si="49"/>
        <v>269</v>
      </c>
      <c r="T17" s="149">
        <f t="shared" si="49"/>
        <v>292</v>
      </c>
      <c r="U17" s="149">
        <f t="shared" si="49"/>
        <v>484</v>
      </c>
      <c r="V17" s="1111">
        <f t="shared" si="49"/>
        <v>1356</v>
      </c>
      <c r="W17" s="149">
        <f t="shared" si="49"/>
        <v>98</v>
      </c>
      <c r="X17" s="149">
        <f t="shared" si="49"/>
        <v>57</v>
      </c>
      <c r="Y17" s="149">
        <f t="shared" si="49"/>
        <v>-380</v>
      </c>
      <c r="Z17" s="149">
        <f t="shared" si="49"/>
        <v>137</v>
      </c>
      <c r="AA17" s="1111">
        <f t="shared" si="49"/>
        <v>-88</v>
      </c>
      <c r="AB17" s="149">
        <f t="shared" si="49"/>
        <v>127</v>
      </c>
      <c r="AC17" s="149">
        <f t="shared" si="49"/>
        <v>-54</v>
      </c>
      <c r="AD17" s="149">
        <f t="shared" si="49"/>
        <v>59</v>
      </c>
      <c r="AE17" s="149">
        <f t="shared" si="49"/>
        <v>-12</v>
      </c>
      <c r="AF17" s="1111">
        <f t="shared" si="49"/>
        <v>120</v>
      </c>
      <c r="AG17" s="149">
        <f t="shared" si="49"/>
        <v>247</v>
      </c>
      <c r="AH17" s="149">
        <f t="shared" si="49"/>
        <v>-84</v>
      </c>
      <c r="AI17" s="149">
        <f t="shared" si="49"/>
        <v>-310</v>
      </c>
      <c r="AJ17" s="149">
        <f t="shared" si="49"/>
        <v>355</v>
      </c>
      <c r="AK17" s="1111">
        <f t="shared" si="49"/>
        <v>208</v>
      </c>
      <c r="AL17" s="149">
        <f t="shared" si="49"/>
        <v>132</v>
      </c>
      <c r="AM17" s="149">
        <f t="shared" si="49"/>
        <v>-437</v>
      </c>
      <c r="AN17" s="149">
        <f>ROUND(INDEX(SP_UI_NEP,0,COLUMN())-INDEX(SP_UI_UnderwritingExpense,0,COLUMN()),6)</f>
        <v>184</v>
      </c>
      <c r="AO17" s="149">
        <f t="shared" si="49"/>
        <v>791</v>
      </c>
      <c r="AP17" s="1111">
        <f t="shared" si="49"/>
        <v>670</v>
      </c>
      <c r="AQ17" s="149">
        <f t="shared" si="49"/>
        <v>52</v>
      </c>
      <c r="AR17" s="149">
        <f t="shared" si="50" ref="AR17:AW17">ROUND(INDEX(SP_UI_NEP,0,COLUMN())-INDEX(SP_UI_UnderwritingExpense,0,COLUMN()),6)</f>
        <v>151</v>
      </c>
      <c r="AS17" s="149">
        <f t="shared" si="50"/>
        <v>-95</v>
      </c>
      <c r="AT17" s="149">
        <f t="shared" si="50"/>
        <v>758</v>
      </c>
      <c r="AU17" s="1111">
        <f t="shared" si="50"/>
        <v>866</v>
      </c>
      <c r="AV17" s="149">
        <f t="shared" si="50"/>
        <v>482</v>
      </c>
      <c r="AW17" s="149">
        <f t="shared" si="50"/>
        <v>-65</v>
      </c>
      <c r="AX17" s="149">
        <f t="shared" si="51" ref="AX17:BB17">ROUND(INDEX(SP_UI_NEP,0,COLUMN())-INDEX(SP_UI_UnderwritingExpense,0,COLUMN()),6)</f>
        <v>-64</v>
      </c>
      <c r="AY17" s="149">
        <f t="shared" si="51"/>
        <v>262</v>
      </c>
      <c r="AZ17" s="1111">
        <f t="shared" si="51"/>
        <v>615</v>
      </c>
      <c r="BA17" s="149">
        <f t="shared" si="51"/>
        <v>175</v>
      </c>
      <c r="BB17" s="149">
        <f t="shared" si="51"/>
        <v>-828</v>
      </c>
      <c r="BC17" s="149">
        <f t="shared" si="52" ref="BC17:BJ17">ROUND(INDEX(SP_UI_NEP,0,COLUMN())-INDEX(SP_UI_UnderwritingExpense,0,COLUMN()),6)</f>
        <v>-338</v>
      </c>
      <c r="BD17" s="149">
        <f t="shared" si="52"/>
        <v>1172</v>
      </c>
      <c r="BE17" s="1111">
        <f t="shared" si="52"/>
        <v>181</v>
      </c>
      <c r="BF17" s="149">
        <f t="shared" si="52"/>
        <v>374</v>
      </c>
      <c r="BG17" s="149">
        <f t="shared" si="52"/>
        <v>-274</v>
      </c>
      <c r="BH17" s="787">
        <f>ROUND(INDEX(SP_UI_NEP,0,COLUMN())-INDEX(SP_UI_UnderwritingExpense,0,COLUMN()),6)</f>
        <v>469</v>
      </c>
      <c r="BI17" s="149">
        <f t="shared" si="52"/>
        <v>648.94021999999995</v>
      </c>
      <c r="BJ17" s="1111">
        <f t="shared" si="52"/>
        <v>1217.94022</v>
      </c>
      <c r="BK17" s="149">
        <f t="shared" si="53" ref="BK17:BR17">ROUND(INDEX(SP_UI_NEP,0,COLUMN())-INDEX(SP_UI_UnderwritingExpense,0,COLUMN()),6)</f>
        <v>556.36156700000004</v>
      </c>
      <c r="BL17" s="149">
        <f t="shared" si="53"/>
        <v>208.963077</v>
      </c>
      <c r="BM17" s="149">
        <f t="shared" si="53"/>
        <v>399.404133</v>
      </c>
      <c r="BN17" s="149">
        <f t="shared" si="53"/>
        <v>682.11030000000005</v>
      </c>
      <c r="BO17" s="1111">
        <f t="shared" si="53"/>
        <v>1846.8390770000001</v>
      </c>
      <c r="BP17" s="1111">
        <f t="shared" si="53"/>
        <v>1544.8797380000001</v>
      </c>
      <c r="BQ17" s="1111">
        <f t="shared" si="53"/>
        <v>2396.8839680000001</v>
      </c>
      <c r="BR17" s="1111">
        <f t="shared" si="53"/>
        <v>1706.2769880000001</v>
      </c>
      <c r="BS17" s="840"/>
    </row>
    <row r="18" spans="1:71" s="57" customFormat="1" ht="15">
      <c r="A18" s="230"/>
      <c r="B18" s="231"/>
      <c r="C18" s="1111"/>
      <c r="D18" s="1111"/>
      <c r="E18" s="1111"/>
      <c r="F18" s="1111"/>
      <c r="G18" s="1111"/>
      <c r="H18" s="149"/>
      <c r="I18" s="149"/>
      <c r="J18" s="149"/>
      <c r="K18" s="149"/>
      <c r="L18" s="1111"/>
      <c r="M18" s="149"/>
      <c r="N18" s="149"/>
      <c r="O18" s="149"/>
      <c r="P18" s="149"/>
      <c r="Q18" s="1111"/>
      <c r="R18" s="149"/>
      <c r="S18" s="149"/>
      <c r="T18" s="149"/>
      <c r="U18" s="149"/>
      <c r="V18" s="1111"/>
      <c r="W18" s="149"/>
      <c r="X18" s="149"/>
      <c r="Y18" s="149"/>
      <c r="Z18" s="149"/>
      <c r="AA18" s="1111"/>
      <c r="AB18" s="149"/>
      <c r="AC18" s="149"/>
      <c r="AD18" s="149"/>
      <c r="AE18" s="149"/>
      <c r="AF18" s="1111"/>
      <c r="AG18" s="149"/>
      <c r="AH18" s="149"/>
      <c r="AI18" s="149"/>
      <c r="AJ18" s="149"/>
      <c r="AK18" s="1111"/>
      <c r="AL18" s="149"/>
      <c r="AM18" s="149"/>
      <c r="AN18" s="149"/>
      <c r="AO18" s="149"/>
      <c r="AP18" s="1111"/>
      <c r="AQ18" s="149"/>
      <c r="AR18" s="149"/>
      <c r="AS18" s="149"/>
      <c r="AT18" s="149"/>
      <c r="AU18" s="1111"/>
      <c r="AV18" s="149"/>
      <c r="AW18" s="149"/>
      <c r="AX18" s="149"/>
      <c r="AY18" s="149"/>
      <c r="AZ18" s="1111"/>
      <c r="BA18" s="149"/>
      <c r="BB18" s="149"/>
      <c r="BC18" s="149"/>
      <c r="BD18" s="149"/>
      <c r="BE18" s="1111"/>
      <c r="BF18" s="149"/>
      <c r="BG18" s="149"/>
      <c r="BH18" s="787"/>
      <c r="BI18" s="149"/>
      <c r="BJ18" s="1111"/>
      <c r="BK18" s="149"/>
      <c r="BL18" s="149"/>
      <c r="BM18" s="149"/>
      <c r="BN18" s="149"/>
      <c r="BO18" s="1111"/>
      <c r="BP18" s="1111"/>
      <c r="BQ18" s="1111"/>
      <c r="BR18" s="1111"/>
      <c r="BS18" s="149"/>
    </row>
    <row r="19" spans="1:71" ht="15">
      <c r="A19" s="142" t="s">
        <v>324</v>
      </c>
      <c r="B19" s="838"/>
      <c r="C19" s="891"/>
      <c r="D19" s="891"/>
      <c r="E19" s="891"/>
      <c r="F19" s="891"/>
      <c r="G19" s="891"/>
      <c r="H19" s="891"/>
      <c r="I19" s="891"/>
      <c r="J19" s="891"/>
      <c r="K19" s="891"/>
      <c r="L19" s="891"/>
      <c r="M19" s="891"/>
      <c r="N19" s="891"/>
      <c r="O19" s="891"/>
      <c r="P19" s="891"/>
      <c r="Q19" s="891"/>
      <c r="R19" s="891"/>
      <c r="S19" s="891"/>
      <c r="T19" s="891"/>
      <c r="U19" s="891"/>
      <c r="V19" s="891"/>
      <c r="W19" s="891"/>
      <c r="X19" s="891"/>
      <c r="Y19" s="891"/>
      <c r="Z19" s="891"/>
      <c r="AA19" s="891"/>
      <c r="AB19" s="891"/>
      <c r="AC19" s="891"/>
      <c r="AD19" s="891"/>
      <c r="AE19" s="891"/>
      <c r="AF19" s="891"/>
      <c r="AG19" s="891"/>
      <c r="AH19" s="891"/>
      <c r="AI19" s="891"/>
      <c r="AJ19" s="891"/>
      <c r="AK19" s="891"/>
      <c r="AL19" s="891"/>
      <c r="AM19" s="891"/>
      <c r="AN19" s="891"/>
      <c r="AO19" s="891"/>
      <c r="AP19" s="891"/>
      <c r="AQ19" s="891"/>
      <c r="AR19" s="891"/>
      <c r="AS19" s="891"/>
      <c r="AT19" s="891"/>
      <c r="AU19" s="891"/>
      <c r="AV19" s="891"/>
      <c r="AW19" s="891"/>
      <c r="AX19" s="891"/>
      <c r="AY19" s="891"/>
      <c r="AZ19" s="891"/>
      <c r="BA19" s="891"/>
      <c r="BB19" s="891"/>
      <c r="BC19" s="891"/>
      <c r="BD19" s="891"/>
      <c r="BE19" s="891"/>
      <c r="BF19" s="891"/>
      <c r="BG19" s="891"/>
      <c r="BH19" s="892"/>
      <c r="BI19" s="891"/>
      <c r="BJ19" s="891"/>
      <c r="BK19" s="891"/>
      <c r="BL19" s="891"/>
      <c r="BM19" s="891"/>
      <c r="BN19" s="891"/>
      <c r="BO19" s="891"/>
      <c r="BP19" s="891"/>
      <c r="BQ19" s="891"/>
      <c r="BR19" s="891"/>
      <c r="BS19" s="840"/>
    </row>
    <row r="20" spans="1:71" s="56" customFormat="1" ht="15">
      <c r="A20" s="235" t="str">
        <f>INDEX(MO_UR_LossRatio,0,COLUMN())</f>
        <v>Total Loss and LAE Ratio, %</v>
      </c>
      <c r="B20" s="236"/>
      <c r="C20" s="1114">
        <f t="shared" si="54" ref="C20:AQ20">INDEX(MO_UR_LossRatio,0,COLUMN())</f>
        <v>0.57932580072835937</v>
      </c>
      <c r="D20" s="1114">
        <f t="shared" si="54"/>
        <v>0.61636804777902199</v>
      </c>
      <c r="E20" s="1114">
        <f t="shared" si="54"/>
        <v>0.73680398370303302</v>
      </c>
      <c r="F20" s="1114">
        <f t="shared" si="54"/>
        <v>0.65643869928881338</v>
      </c>
      <c r="G20" s="1114">
        <f t="shared" si="54"/>
        <v>0.58784291204664929</v>
      </c>
      <c r="H20" s="155">
        <f t="shared" si="54"/>
        <v>0.5692941782586296</v>
      </c>
      <c r="I20" s="155">
        <f t="shared" si="54"/>
        <v>0.64541160593792168</v>
      </c>
      <c r="J20" s="155">
        <f t="shared" si="54"/>
        <v>0.58833361190038447</v>
      </c>
      <c r="K20" s="155">
        <f t="shared" si="54"/>
        <v>0.53671182471985279</v>
      </c>
      <c r="L20" s="1114">
        <f t="shared" si="54"/>
        <v>0.58491123012693458</v>
      </c>
      <c r="M20" s="155">
        <f t="shared" si="54"/>
        <v>0.58271059782608692</v>
      </c>
      <c r="N20" s="155">
        <f t="shared" si="54"/>
        <v>0.59804417467543414</v>
      </c>
      <c r="O20" s="155">
        <f t="shared" si="54"/>
        <v>0.56067639257294433</v>
      </c>
      <c r="P20" s="155">
        <f t="shared" si="54"/>
        <v>0.55835962145110407</v>
      </c>
      <c r="Q20" s="1114">
        <f t="shared" si="54"/>
        <v>0.57480941610119796</v>
      </c>
      <c r="R20" s="155">
        <f t="shared" si="54"/>
        <v>0.62063200133756902</v>
      </c>
      <c r="S20" s="155">
        <f t="shared" si="54"/>
        <v>0.62007582000988959</v>
      </c>
      <c r="T20" s="155">
        <f t="shared" si="54"/>
        <v>0.62103398292800771</v>
      </c>
      <c r="U20" s="155">
        <f t="shared" si="54"/>
        <v>0.59582603154373104</v>
      </c>
      <c r="V20" s="1114">
        <f t="shared" si="54"/>
        <v>0.61424961278226131</v>
      </c>
      <c r="W20" s="155">
        <f t="shared" si="54"/>
        <v>0.66213812065340449</v>
      </c>
      <c r="X20" s="155">
        <f t="shared" si="54"/>
        <v>0.66524956699732329</v>
      </c>
      <c r="Y20" s="155">
        <f t="shared" si="54"/>
        <v>0.7367775563391078</v>
      </c>
      <c r="Z20" s="155">
        <f t="shared" si="54"/>
        <v>0.65529731361303956</v>
      </c>
      <c r="AA20" s="1114">
        <f t="shared" si="54"/>
        <v>0.68009967682903083</v>
      </c>
      <c r="AB20" s="155">
        <f t="shared" si="54"/>
        <v>0.65718219366681963</v>
      </c>
      <c r="AC20" s="155">
        <f t="shared" si="54"/>
        <v>0.68140403286034357</v>
      </c>
      <c r="AD20" s="155">
        <f t="shared" si="54"/>
        <v>0.67640220866027323</v>
      </c>
      <c r="AE20" s="155">
        <f t="shared" si="54"/>
        <v>0.68797696184305257</v>
      </c>
      <c r="AF20" s="1114">
        <f t="shared" si="54"/>
        <v>0.67596733064784364</v>
      </c>
      <c r="AG20" s="155">
        <f t="shared" si="54"/>
        <v>0.64799416484318018</v>
      </c>
      <c r="AH20" s="155">
        <f t="shared" si="54"/>
        <v>0.68989696622781915</v>
      </c>
      <c r="AI20" s="155">
        <f t="shared" si="54"/>
        <v>0.72851372057389607</v>
      </c>
      <c r="AJ20" s="155">
        <f t="shared" si="54"/>
        <v>0.64</v>
      </c>
      <c r="AK20" s="1114">
        <f t="shared" si="54"/>
        <v>0.676747311827957</v>
      </c>
      <c r="AL20" s="155">
        <f t="shared" si="54"/>
        <v>0.66247060450961404</v>
      </c>
      <c r="AM20" s="155">
        <f t="shared" si="54"/>
        <v>0.73429187634795112</v>
      </c>
      <c r="AN20" s="155">
        <f>INDEX(MO_UR_LossRatio,0,COLUMN())</f>
        <v>0.66205962059620593</v>
      </c>
      <c r="AO20" s="155">
        <f t="shared" si="54"/>
        <v>0.58034759358288768</v>
      </c>
      <c r="AP20" s="1114">
        <f t="shared" si="54"/>
        <v>0.65841481889546893</v>
      </c>
      <c r="AQ20" s="155">
        <f t="shared" si="54"/>
        <v>0.67289466558353639</v>
      </c>
      <c r="AR20" s="155">
        <f t="shared" si="55" ref="AR20:AW20">INDEX(MO_UR_LossRatio,0,COLUMN())</f>
        <v>0.66242121848739499</v>
      </c>
      <c r="AS20" s="155">
        <f t="shared" si="55"/>
        <v>0.69791799718993486</v>
      </c>
      <c r="AT20" s="155">
        <f t="shared" si="55"/>
        <v>0.60057328015952138</v>
      </c>
      <c r="AU20" s="1114">
        <f t="shared" si="55"/>
        <v>0.65785123966942149</v>
      </c>
      <c r="AV20" s="155">
        <f t="shared" si="55"/>
        <v>0.62877464437234842</v>
      </c>
      <c r="AW20" s="155">
        <f t="shared" si="55"/>
        <v>0.69772754599014064</v>
      </c>
      <c r="AX20" s="155">
        <f t="shared" si="56" ref="AX20:BB20">INDEX(MO_UR_LossRatio,0,COLUMN())</f>
        <v>0.7066744051073709</v>
      </c>
      <c r="AY20" s="155">
        <f t="shared" si="56"/>
        <v>0.67188386072360218</v>
      </c>
      <c r="AZ20" s="1114">
        <f t="shared" si="56"/>
        <v>0.67689482569676862</v>
      </c>
      <c r="BA20" s="155">
        <f t="shared" si="56"/>
        <v>0.67302913937203523</v>
      </c>
      <c r="BB20" s="155">
        <f t="shared" si="56"/>
        <v>0.7841796875</v>
      </c>
      <c r="BC20" s="155">
        <f t="shared" si="57" ref="BC20:BJ20">INDEX(MO_UR_LossRatio,0,COLUMN())</f>
        <v>0.73564519448446186</v>
      </c>
      <c r="BD20" s="155">
        <f t="shared" si="57"/>
        <v>0.58959189812493729</v>
      </c>
      <c r="BE20" s="1114">
        <f t="shared" si="57"/>
        <v>0.69423479251079157</v>
      </c>
      <c r="BF20" s="155">
        <f t="shared" si="57"/>
        <v>0.657317795773257</v>
      </c>
      <c r="BG20" s="155">
        <f t="shared" si="57"/>
        <v>0.71980864980962611</v>
      </c>
      <c r="BH20" s="790">
        <f>INDEX(MO_UR_LossRatio,0,COLUMN())</f>
        <v>0.6535874439461884</v>
      </c>
      <c r="BI20" s="155">
        <f t="shared" si="57"/>
        <v>0.63269645973130073</v>
      </c>
      <c r="BJ20" s="1114">
        <f t="shared" si="57"/>
        <v>0.66578274414500682</v>
      </c>
      <c r="BK20" s="155">
        <f t="shared" si="58" ref="BK20:BR20">INDEX(MO_UR_LossRatio,0,COLUMN())</f>
        <v>0.63518700499096292</v>
      </c>
      <c r="BL20" s="155">
        <f t="shared" si="58"/>
        <v>0.66443154434405605</v>
      </c>
      <c r="BM20" s="155">
        <f t="shared" si="58"/>
        <v>0.64944326732622371</v>
      </c>
      <c r="BN20" s="155">
        <f t="shared" si="58"/>
        <v>0.63265348882605199</v>
      </c>
      <c r="BO20" s="1114">
        <f t="shared" si="58"/>
        <v>0.64589948024674559</v>
      </c>
      <c r="BP20" s="1114">
        <f t="shared" si="58"/>
        <v>0.6494685572256611</v>
      </c>
      <c r="BQ20" s="1114">
        <f t="shared" si="58"/>
        <v>0.63950475575546439</v>
      </c>
      <c r="BR20" s="1114">
        <f t="shared" si="58"/>
        <v>0.64954740251762044</v>
      </c>
      <c r="BS20" s="155"/>
    </row>
    <row r="21" spans="1:71" s="56" customFormat="1" ht="15">
      <c r="A21" s="235" t="str">
        <f>INDEX(MO_UR_PAERatio,0,COLUMN())</f>
        <v>Total Policy Acquisition Expense Ratio, %</v>
      </c>
      <c r="B21" s="236"/>
      <c r="C21" s="1114">
        <f t="shared" si="59" ref="C21:AQ21">INDEX(MO_UR_PAERatio,0,COLUMN())</f>
        <v>0.17802782706135026</v>
      </c>
      <c r="D21" s="1114">
        <f t="shared" si="59"/>
        <v>0.17739828294139603</v>
      </c>
      <c r="E21" s="1114">
        <f t="shared" si="59"/>
        <v>0.17546401086464464</v>
      </c>
      <c r="F21" s="1114">
        <f t="shared" si="59"/>
        <v>0.1748892964172295</v>
      </c>
      <c r="G21" s="1114">
        <f t="shared" si="59"/>
        <v>0.16879445156160269</v>
      </c>
      <c r="H21" s="155">
        <f t="shared" si="59"/>
        <v>0.16314614459900395</v>
      </c>
      <c r="I21" s="155">
        <f t="shared" si="59"/>
        <v>0.16278677462887989</v>
      </c>
      <c r="J21" s="155">
        <f t="shared" si="59"/>
        <v>0.164465986963062</v>
      </c>
      <c r="K21" s="155">
        <f t="shared" si="59"/>
        <v>0.1644087640073591</v>
      </c>
      <c r="L21" s="1114">
        <f t="shared" si="59"/>
        <v>0.16370767089781976</v>
      </c>
      <c r="M21" s="155">
        <f t="shared" si="59"/>
        <v>0.16355298913043478</v>
      </c>
      <c r="N21" s="155">
        <f t="shared" si="59"/>
        <v>0.16236722306525037</v>
      </c>
      <c r="O21" s="155">
        <f t="shared" si="59"/>
        <v>0.16362732095490717</v>
      </c>
      <c r="P21" s="155">
        <f t="shared" si="59"/>
        <v>0.16138137140959655</v>
      </c>
      <c r="Q21" s="1114">
        <f t="shared" si="59"/>
        <v>0.16272932897712994</v>
      </c>
      <c r="R21" s="155">
        <f t="shared" si="59"/>
        <v>0.16234743353954187</v>
      </c>
      <c r="S21" s="155">
        <f t="shared" si="59"/>
        <v>0.163013021262568</v>
      </c>
      <c r="T21" s="155">
        <f t="shared" si="59"/>
        <v>0.16298920921243357</v>
      </c>
      <c r="U21" s="155">
        <f t="shared" si="59"/>
        <v>0.16138282619085551</v>
      </c>
      <c r="V21" s="1114">
        <f t="shared" si="59"/>
        <v>0.1624276514225157</v>
      </c>
      <c r="W21" s="155">
        <f t="shared" si="59"/>
        <v>0.16221898754649847</v>
      </c>
      <c r="X21" s="155">
        <f t="shared" si="59"/>
        <v>0.16249409541804441</v>
      </c>
      <c r="Y21" s="155">
        <f t="shared" si="59"/>
        <v>0.16234861260156369</v>
      </c>
      <c r="Z21" s="155">
        <f t="shared" si="59"/>
        <v>0.16178690009055238</v>
      </c>
      <c r="AA21" s="1114">
        <f t="shared" si="59"/>
        <v>0.16220846474321535</v>
      </c>
      <c r="AB21" s="155">
        <f t="shared" si="59"/>
        <v>0.16230686859415633</v>
      </c>
      <c r="AC21" s="155">
        <f t="shared" si="59"/>
        <v>0.16146377893950709</v>
      </c>
      <c r="AD21" s="155">
        <f t="shared" si="59"/>
        <v>0.16230746875908167</v>
      </c>
      <c r="AE21" s="155">
        <f t="shared" si="59"/>
        <v>0.16155507559395249</v>
      </c>
      <c r="AF21" s="1114">
        <f t="shared" si="59"/>
        <v>0.16190546583391849</v>
      </c>
      <c r="AG21" s="155">
        <f t="shared" si="59"/>
        <v>0.16294675419401897</v>
      </c>
      <c r="AH21" s="155">
        <f t="shared" si="59"/>
        <v>0.16227819118488837</v>
      </c>
      <c r="AI21" s="155">
        <f t="shared" si="59"/>
        <v>0.16283604958907927</v>
      </c>
      <c r="AJ21" s="155">
        <f t="shared" si="59"/>
        <v>0.16289655172413794</v>
      </c>
      <c r="AK21" s="1114">
        <f t="shared" si="59"/>
        <v>0.1627405206564799</v>
      </c>
      <c r="AL21" s="155">
        <f t="shared" si="59"/>
        <v>0.16295476552773552</v>
      </c>
      <c r="AM21" s="155">
        <f t="shared" si="59"/>
        <v>0.16865564342199857</v>
      </c>
      <c r="AN21" s="155">
        <f>INDEX(MO_UR_PAERatio,0,COLUMN())</f>
        <v>0.16355013550135503</v>
      </c>
      <c r="AO21" s="155">
        <f t="shared" si="59"/>
        <v>0.16243315508021391</v>
      </c>
      <c r="AP21" s="1114">
        <f t="shared" si="59"/>
        <v>0.16433686819997245</v>
      </c>
      <c r="AQ21" s="155">
        <f t="shared" si="59"/>
        <v>0.16341727592743027</v>
      </c>
      <c r="AR21" s="155">
        <f t="shared" si="60" ref="AR21:AW21">INDEX(MO_UR_PAERatio,0,COLUMN())</f>
        <v>0.16465336134453781</v>
      </c>
      <c r="AS21" s="155">
        <f t="shared" si="60"/>
        <v>0.16362242942904587</v>
      </c>
      <c r="AT21" s="155">
        <f t="shared" si="60"/>
        <v>0.16213858424725822</v>
      </c>
      <c r="AU21" s="1114">
        <f t="shared" si="60"/>
        <v>0.16344190568789499</v>
      </c>
      <c r="AV21" s="155">
        <f t="shared" si="60"/>
        <v>0.16346393810831045</v>
      </c>
      <c r="AW21" s="155">
        <f t="shared" si="60"/>
        <v>0.16412167848984008</v>
      </c>
      <c r="AX21" s="155">
        <f t="shared" si="61" ref="AX21:BB21">INDEX(MO_UR_PAERatio,0,COLUMN())</f>
        <v>0.16320371445153803</v>
      </c>
      <c r="AY21" s="155">
        <f t="shared" si="61"/>
        <v>0.16264035386185777</v>
      </c>
      <c r="AZ21" s="1114">
        <f t="shared" si="61"/>
        <v>0.16334448952995884</v>
      </c>
      <c r="BA21" s="155">
        <f t="shared" si="61"/>
        <v>0.16512310819968376</v>
      </c>
      <c r="BB21" s="155">
        <f t="shared" si="61"/>
        <v>0.1648220486111111</v>
      </c>
      <c r="BC21" s="155">
        <f t="shared" si="62" ref="BC21:BJ21">INDEX(MO_UR_PAERatio,0,COLUMN())</f>
        <v>0.16505453797077588</v>
      </c>
      <c r="BD21" s="155">
        <f t="shared" si="62"/>
        <v>0.16454426952772486</v>
      </c>
      <c r="BE21" s="1114">
        <f t="shared" si="62"/>
        <v>0.16487910807446837</v>
      </c>
      <c r="BF21" s="155">
        <f t="shared" si="62"/>
        <v>0.16768714201066562</v>
      </c>
      <c r="BG21" s="155">
        <f t="shared" si="62"/>
        <v>0.16381919359562627</v>
      </c>
      <c r="BH21" s="790">
        <f>INDEX(MO_UR_PAERatio,0,COLUMN())</f>
        <v>0.16722720478325859</v>
      </c>
      <c r="BI21" s="155">
        <f t="shared" si="62"/>
        <v>0.1578453214133663</v>
      </c>
      <c r="BJ21" s="1114">
        <f t="shared" si="62"/>
        <v>0.16417727680438249</v>
      </c>
      <c r="BK21" s="155">
        <f t="shared" si="63" ref="BK21:BR21">INDEX(MO_UR_PAERatio,0,COLUMN())</f>
        <v>0.16465164168773846</v>
      </c>
      <c r="BL21" s="155">
        <f t="shared" si="63"/>
        <v>0.16440367104071715</v>
      </c>
      <c r="BM21" s="155">
        <f t="shared" si="63"/>
        <v>0.16437666593477518</v>
      </c>
      <c r="BN21" s="155">
        <f t="shared" si="63"/>
        <v>0.15775412048393528</v>
      </c>
      <c r="BO21" s="1114">
        <f t="shared" si="63"/>
        <v>0.16288196257458376</v>
      </c>
      <c r="BP21" s="1114">
        <f t="shared" si="63"/>
        <v>0.16332350791360062</v>
      </c>
      <c r="BQ21" s="1114">
        <f t="shared" si="63"/>
        <v>0.15674071390590988</v>
      </c>
      <c r="BR21" s="1114">
        <f t="shared" si="63"/>
        <v>0.16330167658730887</v>
      </c>
      <c r="BS21" s="155"/>
    </row>
    <row r="22" spans="1:71" s="56" customFormat="1" ht="15">
      <c r="A22" s="237" t="str">
        <f>INDEX(MO_UR_OOERatio,0,COLUMN())</f>
        <v>Total Other Operating Expenses Ratio, %</v>
      </c>
      <c r="B22" s="238"/>
      <c r="C22" s="1115">
        <f t="shared" si="64" ref="C22:AQ22">INDEX(MO_UR_OOERatio,0,COLUMN())</f>
        <v>0.15543001213932206</v>
      </c>
      <c r="D22" s="1115">
        <f t="shared" si="64"/>
        <v>0.1576614408361329</v>
      </c>
      <c r="E22" s="1115">
        <f t="shared" si="64"/>
        <v>0.15844273426889996</v>
      </c>
      <c r="F22" s="1115">
        <f t="shared" si="64"/>
        <v>0.16044191975667577</v>
      </c>
      <c r="G22" s="1115">
        <f t="shared" si="64"/>
        <v>0.16508371250607412</v>
      </c>
      <c r="H22" s="157">
        <f t="shared" si="64"/>
        <v>0.15009445303108362</v>
      </c>
      <c r="I22" s="157">
        <f t="shared" si="64"/>
        <v>0.16734143049932523</v>
      </c>
      <c r="J22" s="157">
        <f t="shared" si="64"/>
        <v>0.17131873641985626</v>
      </c>
      <c r="K22" s="157">
        <f t="shared" si="64"/>
        <v>0.17226961030272619</v>
      </c>
      <c r="L22" s="1115">
        <f t="shared" si="64"/>
        <v>0.16535233837979169</v>
      </c>
      <c r="M22" s="157">
        <f t="shared" si="64"/>
        <v>0.16779891304347827</v>
      </c>
      <c r="N22" s="157">
        <f t="shared" si="64"/>
        <v>0.17282077221379194</v>
      </c>
      <c r="O22" s="157">
        <f t="shared" si="64"/>
        <v>0.16909814323607428</v>
      </c>
      <c r="P22" s="157">
        <f t="shared" si="64"/>
        <v>0.17101112402457247</v>
      </c>
      <c r="Q22" s="1115">
        <f t="shared" si="64"/>
        <v>0.17018513864455057</v>
      </c>
      <c r="R22" s="157">
        <f t="shared" si="64"/>
        <v>0.16502257147634175</v>
      </c>
      <c r="S22" s="157">
        <f t="shared" si="64"/>
        <v>0.17257293555299161</v>
      </c>
      <c r="T22" s="157">
        <f t="shared" si="64"/>
        <v>0.1689483008535996</v>
      </c>
      <c r="U22" s="157">
        <f t="shared" si="64"/>
        <v>0.16568424406563645</v>
      </c>
      <c r="V22" s="1115">
        <f t="shared" si="64"/>
        <v>0.16805249857340834</v>
      </c>
      <c r="W22" s="157">
        <f t="shared" si="64"/>
        <v>0.15979298075367945</v>
      </c>
      <c r="X22" s="157">
        <f t="shared" si="64"/>
        <v>0.16328137301212409</v>
      </c>
      <c r="Y22" s="157">
        <f t="shared" si="64"/>
        <v>0.15912923501456386</v>
      </c>
      <c r="Z22" s="157">
        <f t="shared" si="64"/>
        <v>0.16223966193782072</v>
      </c>
      <c r="AA22" s="1115">
        <f t="shared" si="64"/>
        <v>0.16111824942569014</v>
      </c>
      <c r="AB22" s="157">
        <f t="shared" si="64"/>
        <v>0.16108306562643415</v>
      </c>
      <c r="AC22" s="157">
        <f t="shared" si="64"/>
        <v>0.16519790888722927</v>
      </c>
      <c r="AD22" s="157">
        <f t="shared" si="64"/>
        <v>0.15271723336239465</v>
      </c>
      <c r="AE22" s="157">
        <f t="shared" si="64"/>
        <v>0.15219582433405326</v>
      </c>
      <c r="AF22" s="1115">
        <f t="shared" si="64"/>
        <v>0.15769244983184894</v>
      </c>
      <c r="AG22" s="157">
        <f t="shared" si="64"/>
        <v>0.15302698760029176</v>
      </c>
      <c r="AH22" s="157">
        <f t="shared" si="64"/>
        <v>0.15984544934172867</v>
      </c>
      <c r="AI22" s="157">
        <f t="shared" si="64"/>
        <v>0.15183173143891907</v>
      </c>
      <c r="AJ22" s="157">
        <f t="shared" si="64"/>
        <v>0.14813793103448275</v>
      </c>
      <c r="AK22" s="1115">
        <f t="shared" si="64"/>
        <v>0.15315506508205998</v>
      </c>
      <c r="AL22" s="157">
        <f t="shared" si="64"/>
        <v>0.1563148429934984</v>
      </c>
      <c r="AM22" s="157">
        <f t="shared" si="64"/>
        <v>0.15988497483824587</v>
      </c>
      <c r="AN22" s="157">
        <f>INDEX(MO_UR_OOERatio,0,COLUMN())</f>
        <v>0.1494579945799458</v>
      </c>
      <c r="AO22" s="157">
        <f t="shared" si="64"/>
        <v>0.15147058823529411</v>
      </c>
      <c r="AP22" s="1115">
        <f t="shared" si="64"/>
        <v>0.15417986503236469</v>
      </c>
      <c r="AQ22" s="157">
        <f t="shared" si="64"/>
        <v>0.15664771188735446</v>
      </c>
      <c r="AR22" s="157">
        <f t="shared" si="65" ref="AR22:AW22">INDEX(MO_UR_OOERatio,0,COLUMN())</f>
        <v>0.15309873949579833</v>
      </c>
      <c r="AS22" s="157">
        <f t="shared" si="65"/>
        <v>0.15059394558692044</v>
      </c>
      <c r="AT22" s="157">
        <f t="shared" si="65"/>
        <v>0.14282153539381853</v>
      </c>
      <c r="AU22" s="1115">
        <f t="shared" si="65"/>
        <v>0.15064009074704263</v>
      </c>
      <c r="AV22" s="157">
        <f t="shared" si="65"/>
        <v>0.1476166708260544</v>
      </c>
      <c r="AW22" s="157">
        <f t="shared" si="65"/>
        <v>0.14596609354334494</v>
      </c>
      <c r="AX22" s="157">
        <f t="shared" si="66" ref="AX22:BB22">INDEX(MO_UR_OOERatio,0,COLUMN())</f>
        <v>0.1375507835171213</v>
      </c>
      <c r="AY22" s="157">
        <f t="shared" si="66"/>
        <v>0.13576046274242939</v>
      </c>
      <c r="AZ22" s="1115">
        <f t="shared" si="66"/>
        <v>0.14154547877854456</v>
      </c>
      <c r="BA22" s="157">
        <f t="shared" si="66"/>
        <v>0.14208267449740231</v>
      </c>
      <c r="BB22" s="157">
        <f t="shared" si="66"/>
        <v>0.1408420138888889</v>
      </c>
      <c r="BC22" s="157">
        <f t="shared" si="67" ref="BC22:BJ22">INDEX(MO_UR_OOERatio,0,COLUMN())</f>
        <v>0.13408108664334226</v>
      </c>
      <c r="BD22" s="157">
        <f t="shared" si="67"/>
        <v>0.12834653564624487</v>
      </c>
      <c r="BE22" s="1115">
        <f t="shared" si="67"/>
        <v>0.13609279415269723</v>
      </c>
      <c r="BF22" s="157">
        <f t="shared" si="67"/>
        <v>0.13806043847521232</v>
      </c>
      <c r="BG22" s="157">
        <f t="shared" si="67"/>
        <v>0.14312213218783559</v>
      </c>
      <c r="BH22" s="791">
        <f>INDEX(MO_UR_OOERatio,0,COLUMN())</f>
        <v>0.13536995515695066</v>
      </c>
      <c r="BI22" s="157">
        <f t="shared" si="67"/>
        <v>0.14577108648012393</v>
      </c>
      <c r="BJ22" s="1115">
        <f t="shared" si="67"/>
        <v>0.14052310211305338</v>
      </c>
      <c r="BK22" s="157">
        <f t="shared" si="68" ref="BK22:BR22">INDEX(MO_UR_OOERatio,0,COLUMN())</f>
        <v>0.1486771863323407</v>
      </c>
      <c r="BL22" s="157">
        <f t="shared" si="68"/>
        <v>0.15310283498579583</v>
      </c>
      <c r="BM22" s="157">
        <f t="shared" si="68"/>
        <v>0.15249301947460939</v>
      </c>
      <c r="BN22" s="157">
        <f t="shared" si="68"/>
        <v>0.14535525184928424</v>
      </c>
      <c r="BO22" s="1115">
        <f t="shared" si="68"/>
        <v>0.15004101792372956</v>
      </c>
      <c r="BP22" s="1115">
        <f t="shared" si="68"/>
        <v>0.15292088995792713</v>
      </c>
      <c r="BQ22" s="1115">
        <f t="shared" si="68"/>
        <v>0.15239551480269975</v>
      </c>
      <c r="BR22" s="1115">
        <f t="shared" si="68"/>
        <v>0.15186766263881152</v>
      </c>
      <c r="BS22" s="155"/>
    </row>
    <row r="23" spans="1:71" s="58" customFormat="1" ht="15">
      <c r="A23" s="369" t="str">
        <f>INDEX(MO_UR_CombinedRatio,0,COLUMN())</f>
        <v>Total Combined Ratio, %</v>
      </c>
      <c r="B23" s="370"/>
      <c r="C23" s="1116">
        <f t="shared" si="69" ref="C23:AQ23">INDEX(MO_UR_CombinedRatio,0,COLUMN())</f>
        <v>0.91278363992903166</v>
      </c>
      <c r="D23" s="1116">
        <f t="shared" si="69"/>
        <v>0.95142777155655101</v>
      </c>
      <c r="E23" s="1116">
        <f t="shared" si="69"/>
        <v>1.0707107288365776</v>
      </c>
      <c r="F23" s="1116">
        <f t="shared" si="69"/>
        <v>0.99176991546271864</v>
      </c>
      <c r="G23" s="1116">
        <f t="shared" si="69"/>
        <v>0.92172107611432608</v>
      </c>
      <c r="H23" s="325">
        <f t="shared" si="69"/>
        <v>0.8825347758887172</v>
      </c>
      <c r="I23" s="325">
        <f t="shared" si="69"/>
        <v>0.97553981106612686</v>
      </c>
      <c r="J23" s="325">
        <f t="shared" si="69"/>
        <v>0.92411833528330267</v>
      </c>
      <c r="K23" s="325">
        <f t="shared" si="69"/>
        <v>0.87339019902993809</v>
      </c>
      <c r="L23" s="1116">
        <f t="shared" si="69"/>
        <v>0.91397123940454605</v>
      </c>
      <c r="M23" s="325">
        <f t="shared" si="69"/>
        <v>0.9140625</v>
      </c>
      <c r="N23" s="325">
        <f t="shared" si="69"/>
        <v>0.93323216995447644</v>
      </c>
      <c r="O23" s="325">
        <f t="shared" si="69"/>
        <v>0.89340185676392569</v>
      </c>
      <c r="P23" s="325">
        <f t="shared" si="69"/>
        <v>0.89075211688527312</v>
      </c>
      <c r="Q23" s="1116">
        <f t="shared" si="69"/>
        <v>0.90772388372287849</v>
      </c>
      <c r="R23" s="325">
        <f t="shared" si="69"/>
        <v>0.94800200635345255</v>
      </c>
      <c r="S23" s="325">
        <f t="shared" si="69"/>
        <v>0.95566177682544917</v>
      </c>
      <c r="T23" s="325">
        <f t="shared" si="69"/>
        <v>0.95297149299404094</v>
      </c>
      <c r="U23" s="325">
        <f t="shared" si="69"/>
        <v>0.92289310180022299</v>
      </c>
      <c r="V23" s="1116">
        <f t="shared" si="69"/>
        <v>0.94472976277818532</v>
      </c>
      <c r="W23" s="325">
        <f t="shared" si="69"/>
        <v>0.98415008895358236</v>
      </c>
      <c r="X23" s="325">
        <f t="shared" si="69"/>
        <v>0.99102503542749176</v>
      </c>
      <c r="Y23" s="325">
        <f t="shared" si="69"/>
        <v>1.0582554039552354</v>
      </c>
      <c r="Z23" s="325">
        <f t="shared" si="69"/>
        <v>0.97932387564141266</v>
      </c>
      <c r="AA23" s="1116">
        <f t="shared" si="69"/>
        <v>1.0034263909979364</v>
      </c>
      <c r="AB23" s="325">
        <f t="shared" si="69"/>
        <v>0.98057212788741011</v>
      </c>
      <c r="AC23" s="325">
        <f t="shared" si="69"/>
        <v>1.00806572068708</v>
      </c>
      <c r="AD23" s="325">
        <f t="shared" si="69"/>
        <v>0.99142691078174949</v>
      </c>
      <c r="AE23" s="325">
        <f t="shared" si="69"/>
        <v>1.0017278617710583</v>
      </c>
      <c r="AF23" s="1116">
        <f t="shared" si="69"/>
        <v>0.99556524631361099</v>
      </c>
      <c r="AG23" s="325">
        <f t="shared" si="69"/>
        <v>0.96396790663749088</v>
      </c>
      <c r="AH23" s="325">
        <f t="shared" si="69"/>
        <v>1.0120206067544362</v>
      </c>
      <c r="AI23" s="325">
        <f t="shared" si="69"/>
        <v>1.0431815016018944</v>
      </c>
      <c r="AJ23" s="325">
        <f t="shared" si="69"/>
        <v>0.95103448275862068</v>
      </c>
      <c r="AK23" s="1116">
        <f t="shared" si="69"/>
        <v>0.99264289756649693</v>
      </c>
      <c r="AL23" s="325">
        <f t="shared" si="69"/>
        <v>0.98174021303084802</v>
      </c>
      <c r="AM23" s="325">
        <f t="shared" si="69"/>
        <v>1.0628324946081955</v>
      </c>
      <c r="AN23" s="325">
        <f>INDEX(MO_UR_CombinedRatio,0,COLUMN())</f>
        <v>0.97506775067750673</v>
      </c>
      <c r="AO23" s="325">
        <f t="shared" si="69"/>
        <v>0.89425133689839575</v>
      </c>
      <c r="AP23" s="1116">
        <f t="shared" si="69"/>
        <v>0.97693155212780614</v>
      </c>
      <c r="AQ23" s="325">
        <f t="shared" si="69"/>
        <v>0.99295965339832115</v>
      </c>
      <c r="AR23" s="325">
        <f t="shared" si="70" ref="AR23:AW23">INDEX(MO_UR_CombinedRatio,0,COLUMN())</f>
        <v>0.98017331932773111</v>
      </c>
      <c r="AS23" s="325">
        <f t="shared" si="70"/>
        <v>1.0121343722059011</v>
      </c>
      <c r="AT23" s="325">
        <f t="shared" si="70"/>
        <v>0.90553339980059822</v>
      </c>
      <c r="AU23" s="1116">
        <f t="shared" si="70"/>
        <v>0.97193323610435911</v>
      </c>
      <c r="AV23" s="325">
        <f t="shared" si="70"/>
        <v>0.93985525330671327</v>
      </c>
      <c r="AW23" s="325">
        <f t="shared" si="70"/>
        <v>1.0078153180233258</v>
      </c>
      <c r="AX23" s="325">
        <f t="shared" si="71" ref="AX23:BB23">INDEX(MO_UR_CombinedRatio,0,COLUMN())</f>
        <v>1.0074289030760302</v>
      </c>
      <c r="AY23" s="325">
        <f t="shared" si="71"/>
        <v>0.97028467732788926</v>
      </c>
      <c r="AZ23" s="1116">
        <f t="shared" si="71"/>
        <v>0.98178479400527208</v>
      </c>
      <c r="BA23" s="325">
        <f t="shared" si="71"/>
        <v>0.98023492206912133</v>
      </c>
      <c r="BB23" s="325">
        <f t="shared" si="71"/>
        <v>1.08984375</v>
      </c>
      <c r="BC23" s="325">
        <f t="shared" si="72" ref="BC23:BJ23">INDEX(MO_UR_CombinedRatio,0,COLUMN())</f>
        <v>1.0347808190985799</v>
      </c>
      <c r="BD23" s="325">
        <f t="shared" si="72"/>
        <v>0.8824827032989071</v>
      </c>
      <c r="BE23" s="1116">
        <f t="shared" si="72"/>
        <v>0.9952066947379572</v>
      </c>
      <c r="BF23" s="325">
        <f t="shared" si="72"/>
        <v>0.96306537625913491</v>
      </c>
      <c r="BG23" s="325">
        <f t="shared" si="72"/>
        <v>1.026749975593088</v>
      </c>
      <c r="BH23" s="792">
        <f>INDEX(MO_UR_CombinedRatio,0,COLUMN())</f>
        <v>0.95618460388639759</v>
      </c>
      <c r="BI23" s="325">
        <f t="shared" si="72"/>
        <v>0.93631286762479093</v>
      </c>
      <c r="BJ23" s="1116">
        <f t="shared" si="72"/>
        <v>0.97048312306244278</v>
      </c>
      <c r="BK23" s="325">
        <f t="shared" si="73" ref="BK23:BR23">INDEX(MO_UR_CombinedRatio,0,COLUMN())</f>
        <v>0.94851583301104192</v>
      </c>
      <c r="BL23" s="325">
        <f t="shared" si="73"/>
        <v>0.98193805037056903</v>
      </c>
      <c r="BM23" s="325">
        <f t="shared" si="73"/>
        <v>0.96631295273560835</v>
      </c>
      <c r="BN23" s="325">
        <f t="shared" si="73"/>
        <v>0.93576286115927165</v>
      </c>
      <c r="BO23" s="1116">
        <f t="shared" si="73"/>
        <v>0.95882246074505895</v>
      </c>
      <c r="BP23" s="1116">
        <f t="shared" si="73"/>
        <v>0.9657129550971888</v>
      </c>
      <c r="BQ23" s="1116">
        <f t="shared" si="73"/>
        <v>0.94864098446407397</v>
      </c>
      <c r="BR23" s="1116">
        <f t="shared" si="73"/>
        <v>0.96471674174374067</v>
      </c>
      <c r="BS23" s="159"/>
    </row>
    <row r="24" spans="1:71" s="57" customFormat="1" ht="15">
      <c r="A24" s="230"/>
      <c r="B24" s="231"/>
      <c r="C24" s="1111"/>
      <c r="D24" s="1111"/>
      <c r="E24" s="1111"/>
      <c r="F24" s="1111"/>
      <c r="G24" s="1111"/>
      <c r="H24" s="149"/>
      <c r="I24" s="149"/>
      <c r="J24" s="149"/>
      <c r="K24" s="149"/>
      <c r="L24" s="1111"/>
      <c r="M24" s="149"/>
      <c r="N24" s="149"/>
      <c r="O24" s="149"/>
      <c r="P24" s="149"/>
      <c r="Q24" s="1111"/>
      <c r="R24" s="149"/>
      <c r="S24" s="149"/>
      <c r="T24" s="149"/>
      <c r="U24" s="149"/>
      <c r="V24" s="1111"/>
      <c r="W24" s="149"/>
      <c r="X24" s="149"/>
      <c r="Y24" s="149"/>
      <c r="Z24" s="149"/>
      <c r="AA24" s="1111"/>
      <c r="AB24" s="149"/>
      <c r="AC24" s="149"/>
      <c r="AD24" s="149"/>
      <c r="AE24" s="149"/>
      <c r="AF24" s="1111"/>
      <c r="AG24" s="149"/>
      <c r="AH24" s="149"/>
      <c r="AI24" s="149"/>
      <c r="AJ24" s="149"/>
      <c r="AK24" s="1111"/>
      <c r="AL24" s="149"/>
      <c r="AM24" s="149"/>
      <c r="AN24" s="149"/>
      <c r="AO24" s="149"/>
      <c r="AP24" s="1111"/>
      <c r="AQ24" s="149"/>
      <c r="AR24" s="149"/>
      <c r="AS24" s="149"/>
      <c r="AT24" s="149"/>
      <c r="AU24" s="1111"/>
      <c r="AV24" s="149"/>
      <c r="AW24" s="149"/>
      <c r="AX24" s="149"/>
      <c r="AY24" s="149"/>
      <c r="AZ24" s="1111"/>
      <c r="BA24" s="149"/>
      <c r="BB24" s="149"/>
      <c r="BC24" s="149"/>
      <c r="BD24" s="149"/>
      <c r="BE24" s="1111"/>
      <c r="BF24" s="149"/>
      <c r="BG24" s="149"/>
      <c r="BH24" s="787"/>
      <c r="BI24" s="149"/>
      <c r="BJ24" s="1111"/>
      <c r="BK24" s="149"/>
      <c r="BL24" s="149"/>
      <c r="BM24" s="149"/>
      <c r="BN24" s="149"/>
      <c r="BO24" s="1111"/>
      <c r="BP24" s="1111"/>
      <c r="BQ24" s="1111"/>
      <c r="BR24" s="1111"/>
      <c r="BS24" s="149"/>
    </row>
    <row r="25" spans="1:71" ht="15">
      <c r="A25" s="142" t="s">
        <v>96</v>
      </c>
      <c r="B25" s="838"/>
      <c r="C25" s="891"/>
      <c r="D25" s="891"/>
      <c r="E25" s="891"/>
      <c r="F25" s="891"/>
      <c r="G25" s="891"/>
      <c r="H25" s="891"/>
      <c r="I25" s="891"/>
      <c r="J25" s="891"/>
      <c r="K25" s="891"/>
      <c r="L25" s="891"/>
      <c r="M25" s="891"/>
      <c r="N25" s="891"/>
      <c r="O25" s="891"/>
      <c r="P25" s="891"/>
      <c r="Q25" s="891"/>
      <c r="R25" s="891"/>
      <c r="S25" s="891"/>
      <c r="T25" s="891"/>
      <c r="U25" s="891"/>
      <c r="V25" s="891"/>
      <c r="W25" s="891"/>
      <c r="X25" s="891"/>
      <c r="Y25" s="891"/>
      <c r="Z25" s="891"/>
      <c r="AA25" s="891"/>
      <c r="AB25" s="891"/>
      <c r="AC25" s="891"/>
      <c r="AD25" s="891"/>
      <c r="AE25" s="891"/>
      <c r="AF25" s="891"/>
      <c r="AG25" s="891"/>
      <c r="AH25" s="891"/>
      <c r="AI25" s="891"/>
      <c r="AJ25" s="891"/>
      <c r="AK25" s="891"/>
      <c r="AL25" s="891"/>
      <c r="AM25" s="891"/>
      <c r="AN25" s="891"/>
      <c r="AO25" s="891"/>
      <c r="AP25" s="891"/>
      <c r="AQ25" s="891"/>
      <c r="AR25" s="891"/>
      <c r="AS25" s="891"/>
      <c r="AT25" s="891"/>
      <c r="AU25" s="891"/>
      <c r="AV25" s="891"/>
      <c r="AW25" s="891"/>
      <c r="AX25" s="891"/>
      <c r="AY25" s="891"/>
      <c r="AZ25" s="891"/>
      <c r="BA25" s="891"/>
      <c r="BB25" s="891"/>
      <c r="BC25" s="891"/>
      <c r="BD25" s="891"/>
      <c r="BE25" s="891"/>
      <c r="BF25" s="891"/>
      <c r="BG25" s="891"/>
      <c r="BH25" s="892"/>
      <c r="BI25" s="891"/>
      <c r="BJ25" s="891"/>
      <c r="BK25" s="891"/>
      <c r="BL25" s="891"/>
      <c r="BM25" s="891"/>
      <c r="BN25" s="891"/>
      <c r="BO25" s="891"/>
      <c r="BP25" s="891"/>
      <c r="BQ25" s="891"/>
      <c r="BR25" s="891"/>
      <c r="BS25" s="840"/>
    </row>
    <row r="26" spans="1:71" s="54" customFormat="1" ht="15">
      <c r="A26" s="225" t="str">
        <f>INDEX(MO_II_InvestmentBalance,0,COLUMN())</f>
        <v>Total Investments - Average Balance, mm</v>
      </c>
      <c r="B26" s="232"/>
      <c r="C26" s="1111">
        <f t="shared" si="74" ref="C26:AQ26">INDEX(MO_II_InvestmentBalance,0,COLUMN())</f>
        <v>0</v>
      </c>
      <c r="D26" s="1111">
        <f t="shared" si="74"/>
        <v>73843.50</v>
      </c>
      <c r="E26" s="1111">
        <f t="shared" si="74"/>
        <v>72711.50</v>
      </c>
      <c r="F26" s="1111">
        <f t="shared" si="74"/>
        <v>73269.50</v>
      </c>
      <c r="G26" s="1111">
        <f t="shared" si="74"/>
        <v>73499</v>
      </c>
      <c r="H26" s="149">
        <f t="shared" si="74"/>
        <v>73439</v>
      </c>
      <c r="I26" s="149">
        <f t="shared" si="74"/>
        <v>73829.50</v>
      </c>
      <c r="J26" s="149">
        <f t="shared" si="74"/>
        <v>74065.50</v>
      </c>
      <c r="K26" s="149">
        <f t="shared" si="74"/>
        <v>73725.50</v>
      </c>
      <c r="L26" s="1111">
        <f t="shared" si="74"/>
        <v>73766.483561643836</v>
      </c>
      <c r="M26" s="149">
        <f t="shared" si="74"/>
        <v>72940</v>
      </c>
      <c r="N26" s="149">
        <f t="shared" si="74"/>
        <v>71924.50</v>
      </c>
      <c r="O26" s="149">
        <f t="shared" si="74"/>
        <v>71644.50</v>
      </c>
      <c r="P26" s="149">
        <f t="shared" si="74"/>
        <v>71264.50</v>
      </c>
      <c r="Q26" s="1111">
        <f t="shared" si="74"/>
        <v>71937.965753424651</v>
      </c>
      <c r="R26" s="149">
        <f t="shared" si="74"/>
        <v>71074</v>
      </c>
      <c r="S26" s="149">
        <f t="shared" si="74"/>
        <v>72074</v>
      </c>
      <c r="T26" s="149">
        <f t="shared" si="74"/>
        <v>72717</v>
      </c>
      <c r="U26" s="149">
        <f t="shared" si="74"/>
        <v>71726</v>
      </c>
      <c r="V26" s="1111">
        <f t="shared" si="74"/>
        <v>71899.519125683059</v>
      </c>
      <c r="W26" s="149">
        <f t="shared" si="74"/>
        <v>70872.50</v>
      </c>
      <c r="X26" s="149">
        <f t="shared" si="74"/>
        <v>71794</v>
      </c>
      <c r="Y26" s="149">
        <f t="shared" si="74"/>
        <v>72711.50</v>
      </c>
      <c r="Z26" s="149">
        <f t="shared" si="74"/>
        <v>72797</v>
      </c>
      <c r="AA26" s="1111">
        <f t="shared" si="74"/>
        <v>72050.852054794523</v>
      </c>
      <c r="AB26" s="149">
        <f t="shared" si="74"/>
        <v>72113</v>
      </c>
      <c r="AC26" s="149">
        <f t="shared" si="74"/>
        <v>71442.50</v>
      </c>
      <c r="AD26" s="149">
        <f t="shared" si="74"/>
        <v>71507</v>
      </c>
      <c r="AE26" s="149">
        <f t="shared" si="74"/>
        <v>72065.50</v>
      </c>
      <c r="AF26" s="1111">
        <f t="shared" si="74"/>
        <v>71781.11643835617</v>
      </c>
      <c r="AG26" s="149">
        <f t="shared" si="74"/>
        <v>73397.50</v>
      </c>
      <c r="AH26" s="149">
        <f t="shared" si="74"/>
        <v>75006.50</v>
      </c>
      <c r="AI26" s="149">
        <f t="shared" si="74"/>
        <v>76458</v>
      </c>
      <c r="AJ26" s="149">
        <f t="shared" si="74"/>
        <v>77652</v>
      </c>
      <c r="AK26" s="1111">
        <f t="shared" si="74"/>
        <v>75642.428767123289</v>
      </c>
      <c r="AL26" s="149">
        <f t="shared" si="74"/>
        <v>77267</v>
      </c>
      <c r="AM26" s="149">
        <f t="shared" si="74"/>
        <v>78625.50</v>
      </c>
      <c r="AN26" s="149">
        <f>INDEX(MO_II_InvestmentBalance,0,COLUMN())</f>
        <v>82081</v>
      </c>
      <c r="AO26" s="149">
        <f t="shared" si="74"/>
        <v>83992</v>
      </c>
      <c r="AP26" s="1111">
        <f t="shared" si="74"/>
        <v>80505.282786885247</v>
      </c>
      <c r="AQ26" s="149">
        <f t="shared" si="74"/>
        <v>84155</v>
      </c>
      <c r="AR26" s="149">
        <f t="shared" si="75" ref="AR26:AW26">INDEX(MO_II_InvestmentBalance,0,COLUMN())</f>
        <v>85216</v>
      </c>
      <c r="AS26" s="149">
        <f t="shared" si="75"/>
        <v>87025.50</v>
      </c>
      <c r="AT26" s="149">
        <f t="shared" si="75"/>
        <v>87440.50</v>
      </c>
      <c r="AU26" s="1111">
        <f t="shared" si="75"/>
        <v>85971.172602739724</v>
      </c>
      <c r="AV26" s="149">
        <f t="shared" si="75"/>
        <v>85519.50</v>
      </c>
      <c r="AW26" s="149">
        <f t="shared" si="75"/>
        <v>82061.50</v>
      </c>
      <c r="AX26" s="149">
        <f t="shared" si="76" ref="AX26:BB26">INDEX(MO_II_InvestmentBalance,0,COLUMN())</f>
        <v>79286</v>
      </c>
      <c r="AY26" s="149">
        <f t="shared" si="76"/>
        <v>79283.50</v>
      </c>
      <c r="AZ26" s="1111">
        <f t="shared" si="76"/>
        <v>81514.371232876714</v>
      </c>
      <c r="BA26" s="149">
        <f t="shared" si="76"/>
        <v>81244.50</v>
      </c>
      <c r="BB26" s="149">
        <f t="shared" si="76"/>
        <v>82504</v>
      </c>
      <c r="BC26" s="149">
        <f t="shared" si="77" ref="BC26:BJ26">INDEX(MO_II_InvestmentBalance,0,COLUMN())</f>
        <v>82964.50</v>
      </c>
      <c r="BD26" s="149">
        <f t="shared" si="77"/>
        <v>85883</v>
      </c>
      <c r="BE26" s="1111">
        <f t="shared" si="77"/>
        <v>83161.202739726024</v>
      </c>
      <c r="BF26" s="149">
        <f t="shared" si="77"/>
        <v>88733.50</v>
      </c>
      <c r="BG26" s="149">
        <f t="shared" si="77"/>
        <v>89084</v>
      </c>
      <c r="BH26" s="787">
        <f>INDEX(MO_II_InvestmentBalance,0,COLUMN())</f>
        <v>92480.50</v>
      </c>
      <c r="BI26" s="149">
        <f t="shared" si="77"/>
        <v>93018.100000000006</v>
      </c>
      <c r="BJ26" s="1111">
        <f t="shared" si="77"/>
        <v>90839.518306010941</v>
      </c>
      <c r="BK26" s="149">
        <f t="shared" si="78" ref="BK26:BR26">INDEX(MO_II_InvestmentBalance,0,COLUMN())</f>
        <v>87405.174999999988</v>
      </c>
      <c r="BL26" s="149">
        <f t="shared" si="78"/>
        <v>87762.684999999998</v>
      </c>
      <c r="BM26" s="149">
        <f t="shared" si="78"/>
        <v>94330.110000000001</v>
      </c>
      <c r="BN26" s="149">
        <f t="shared" si="78"/>
        <v>94878.462</v>
      </c>
      <c r="BO26" s="1111">
        <f t="shared" si="78"/>
        <v>91123.44851780821</v>
      </c>
      <c r="BP26" s="1111">
        <f t="shared" si="78"/>
        <v>92859.913620000007</v>
      </c>
      <c r="BQ26" s="1111">
        <f t="shared" si="78"/>
        <v>93788.512756199998</v>
      </c>
      <c r="BR26" s="1111">
        <f t="shared" si="78"/>
        <v>94726.397883761994</v>
      </c>
      <c r="BS26" s="840"/>
    </row>
    <row r="27" spans="1:71" s="53" customFormat="1" ht="15">
      <c r="A27" s="226"/>
      <c r="B27" s="227"/>
      <c r="C27" s="1112"/>
      <c r="D27" s="1112"/>
      <c r="E27" s="1112"/>
      <c r="F27" s="1112"/>
      <c r="G27" s="1112"/>
      <c r="H27" s="151"/>
      <c r="I27" s="151"/>
      <c r="J27" s="151"/>
      <c r="K27" s="151"/>
      <c r="L27" s="1112"/>
      <c r="M27" s="151"/>
      <c r="N27" s="151"/>
      <c r="O27" s="151"/>
      <c r="P27" s="151"/>
      <c r="Q27" s="1112"/>
      <c r="R27" s="151"/>
      <c r="S27" s="151"/>
      <c r="T27" s="151"/>
      <c r="U27" s="151"/>
      <c r="V27" s="1112"/>
      <c r="W27" s="151"/>
      <c r="X27" s="151"/>
      <c r="Y27" s="151"/>
      <c r="Z27" s="151"/>
      <c r="AA27" s="1112"/>
      <c r="AB27" s="151"/>
      <c r="AC27" s="151"/>
      <c r="AD27" s="151"/>
      <c r="AE27" s="151"/>
      <c r="AF27" s="1112"/>
      <c r="AG27" s="151"/>
      <c r="AH27" s="151"/>
      <c r="AI27" s="151"/>
      <c r="AJ27" s="151"/>
      <c r="AK27" s="1112"/>
      <c r="AL27" s="151"/>
      <c r="AM27" s="151"/>
      <c r="AN27" s="151"/>
      <c r="AO27" s="151"/>
      <c r="AP27" s="1112"/>
      <c r="AQ27" s="151"/>
      <c r="AR27" s="151"/>
      <c r="AS27" s="151"/>
      <c r="AT27" s="151"/>
      <c r="AU27" s="1112"/>
      <c r="AV27" s="151"/>
      <c r="AW27" s="151"/>
      <c r="AX27" s="151"/>
      <c r="AY27" s="151"/>
      <c r="AZ27" s="1112"/>
      <c r="BA27" s="151"/>
      <c r="BB27" s="151"/>
      <c r="BC27" s="151"/>
      <c r="BD27" s="151"/>
      <c r="BE27" s="1112"/>
      <c r="BF27" s="151"/>
      <c r="BG27" s="151"/>
      <c r="BH27" s="788"/>
      <c r="BI27" s="151"/>
      <c r="BJ27" s="1112"/>
      <c r="BK27" s="151"/>
      <c r="BL27" s="151"/>
      <c r="BM27" s="151"/>
      <c r="BN27" s="151"/>
      <c r="BO27" s="1112"/>
      <c r="BP27" s="1112"/>
      <c r="BQ27" s="1112"/>
      <c r="BR27" s="1112"/>
      <c r="BS27" s="839"/>
    </row>
    <row r="28" spans="1:71" s="54" customFormat="1" ht="15">
      <c r="A28" s="225" t="str">
        <f>INDEX(MO_II_NetII,0,COLUMN())</f>
        <v>Net Investment Income, mm</v>
      </c>
      <c r="B28" s="232"/>
      <c r="C28" s="1111">
        <f t="shared" si="79" ref="C28:AQ28">INDEX(MO_II_NetII,0,COLUMN())</f>
        <v>2776</v>
      </c>
      <c r="D28" s="1111">
        <f t="shared" si="79"/>
        <v>3059</v>
      </c>
      <c r="E28" s="1111">
        <f t="shared" si="79"/>
        <v>2879</v>
      </c>
      <c r="F28" s="1111">
        <f t="shared" si="79"/>
        <v>2889</v>
      </c>
      <c r="G28" s="1111">
        <f t="shared" si="79"/>
        <v>2716</v>
      </c>
      <c r="H28" s="149">
        <f t="shared" si="79"/>
        <v>736</v>
      </c>
      <c r="I28" s="149">
        <f t="shared" si="79"/>
        <v>695</v>
      </c>
      <c r="J28" s="149">
        <f t="shared" si="79"/>
        <v>719</v>
      </c>
      <c r="K28" s="149">
        <f t="shared" si="79"/>
        <v>637</v>
      </c>
      <c r="L28" s="1111">
        <f t="shared" si="79"/>
        <v>2787</v>
      </c>
      <c r="M28" s="149">
        <f t="shared" si="79"/>
        <v>592</v>
      </c>
      <c r="N28" s="149">
        <f t="shared" si="79"/>
        <v>632</v>
      </c>
      <c r="O28" s="149">
        <f t="shared" si="79"/>
        <v>614</v>
      </c>
      <c r="P28" s="149">
        <f t="shared" si="79"/>
        <v>541</v>
      </c>
      <c r="Q28" s="1111">
        <f t="shared" si="79"/>
        <v>2379</v>
      </c>
      <c r="R28" s="149">
        <f t="shared" si="79"/>
        <v>544</v>
      </c>
      <c r="S28" s="149">
        <f t="shared" si="79"/>
        <v>549</v>
      </c>
      <c r="T28" s="149">
        <f t="shared" si="79"/>
        <v>582</v>
      </c>
      <c r="U28" s="149">
        <f t="shared" si="79"/>
        <v>627</v>
      </c>
      <c r="V28" s="1111">
        <f t="shared" si="79"/>
        <v>2302</v>
      </c>
      <c r="W28" s="149">
        <f t="shared" si="79"/>
        <v>610</v>
      </c>
      <c r="X28" s="149">
        <f t="shared" si="79"/>
        <v>598</v>
      </c>
      <c r="Y28" s="149">
        <f t="shared" si="79"/>
        <v>588</v>
      </c>
      <c r="Z28" s="149">
        <f t="shared" si="79"/>
        <v>601</v>
      </c>
      <c r="AA28" s="1111">
        <f t="shared" si="79"/>
        <v>2397</v>
      </c>
      <c r="AB28" s="149">
        <f t="shared" si="79"/>
        <v>603</v>
      </c>
      <c r="AC28" s="149">
        <f t="shared" si="79"/>
        <v>595</v>
      </c>
      <c r="AD28" s="149">
        <f t="shared" si="79"/>
        <v>646</v>
      </c>
      <c r="AE28" s="149">
        <f t="shared" si="79"/>
        <v>630</v>
      </c>
      <c r="AF28" s="1111">
        <f t="shared" si="79"/>
        <v>2474</v>
      </c>
      <c r="AG28" s="149">
        <f t="shared" si="79"/>
        <v>582</v>
      </c>
      <c r="AH28" s="149">
        <f t="shared" si="79"/>
        <v>648</v>
      </c>
      <c r="AI28" s="149">
        <f t="shared" si="79"/>
        <v>622</v>
      </c>
      <c r="AJ28" s="149">
        <f t="shared" si="79"/>
        <v>616</v>
      </c>
      <c r="AK28" s="1111">
        <f t="shared" si="79"/>
        <v>2468</v>
      </c>
      <c r="AL28" s="149">
        <f t="shared" si="79"/>
        <v>611</v>
      </c>
      <c r="AM28" s="149">
        <f t="shared" si="79"/>
        <v>268</v>
      </c>
      <c r="AN28" s="149">
        <f>INDEX(MO_II_NetII,0,COLUMN())</f>
        <v>671</v>
      </c>
      <c r="AO28" s="149">
        <f t="shared" si="79"/>
        <v>677</v>
      </c>
      <c r="AP28" s="1111">
        <f t="shared" si="79"/>
        <v>2227</v>
      </c>
      <c r="AQ28" s="149">
        <f t="shared" si="79"/>
        <v>701</v>
      </c>
      <c r="AR28" s="149">
        <f t="shared" si="80" ref="AR28:AW28">INDEX(MO_II_NetII,0,COLUMN())</f>
        <v>818</v>
      </c>
      <c r="AS28" s="149">
        <f t="shared" si="80"/>
        <v>771</v>
      </c>
      <c r="AT28" s="149">
        <f t="shared" si="80"/>
        <v>743</v>
      </c>
      <c r="AU28" s="1111">
        <f t="shared" si="80"/>
        <v>3033</v>
      </c>
      <c r="AV28" s="149">
        <f t="shared" si="80"/>
        <v>637</v>
      </c>
      <c r="AW28" s="149">
        <f t="shared" si="80"/>
        <v>707</v>
      </c>
      <c r="AX28" s="149">
        <f t="shared" si="81" ref="AX28:BB28">INDEX(MO_II_NetII,0,COLUMN())</f>
        <v>593</v>
      </c>
      <c r="AY28" s="149">
        <f t="shared" si="81"/>
        <v>625</v>
      </c>
      <c r="AZ28" s="1111">
        <f t="shared" si="81"/>
        <v>2562</v>
      </c>
      <c r="BA28" s="149">
        <f t="shared" si="81"/>
        <v>663</v>
      </c>
      <c r="BB28" s="149">
        <f t="shared" si="81"/>
        <v>712</v>
      </c>
      <c r="BC28" s="149">
        <f t="shared" si="82" ref="BC28:BJ28">INDEX(MO_II_NetII,0,COLUMN())</f>
        <v>769</v>
      </c>
      <c r="BD28" s="149">
        <f t="shared" si="82"/>
        <v>778</v>
      </c>
      <c r="BE28" s="1111">
        <f t="shared" si="82"/>
        <v>2922</v>
      </c>
      <c r="BF28" s="149">
        <f t="shared" si="82"/>
        <v>846</v>
      </c>
      <c r="BG28" s="149">
        <f t="shared" si="82"/>
        <v>885</v>
      </c>
      <c r="BH28" s="787">
        <f>INDEX(MO_II_NetII,0,COLUMN())</f>
        <v>904</v>
      </c>
      <c r="BI28" s="149">
        <f t="shared" si="82"/>
        <v>865.11915956284156</v>
      </c>
      <c r="BJ28" s="1111">
        <f t="shared" si="82"/>
        <v>3500.1191595628416</v>
      </c>
      <c r="BK28" s="149">
        <f t="shared" si="83" ref="BK28:BR28">INDEX(MO_II_NetII,0,COLUMN())</f>
        <v>754.31863356164388</v>
      </c>
      <c r="BL28" s="149">
        <f t="shared" si="83"/>
        <v>634.53623483561648</v>
      </c>
      <c r="BM28" s="149">
        <f t="shared" si="83"/>
        <v>713.2906947945205</v>
      </c>
      <c r="BN28" s="149">
        <f t="shared" si="83"/>
        <v>884.83913602191774</v>
      </c>
      <c r="BO28" s="1111">
        <f t="shared" si="83"/>
        <v>2986.9846992136981</v>
      </c>
      <c r="BP28" s="1111">
        <f t="shared" si="83"/>
        <v>3714.3965448000004</v>
      </c>
      <c r="BQ28" s="1111">
        <f t="shared" si="83"/>
        <v>3751.5405102479999</v>
      </c>
      <c r="BR28" s="1111">
        <f t="shared" si="83"/>
        <v>3789.0559153504801</v>
      </c>
      <c r="BS28" s="840"/>
    </row>
    <row r="29" spans="1:71" s="53" customFormat="1" ht="15">
      <c r="A29" s="226"/>
      <c r="B29" s="227"/>
      <c r="C29" s="1112"/>
      <c r="D29" s="1112"/>
      <c r="E29" s="1112"/>
      <c r="F29" s="1112"/>
      <c r="G29" s="1112"/>
      <c r="H29" s="151"/>
      <c r="I29" s="151"/>
      <c r="J29" s="151"/>
      <c r="K29" s="151"/>
      <c r="L29" s="1112"/>
      <c r="M29" s="151"/>
      <c r="N29" s="151"/>
      <c r="O29" s="151"/>
      <c r="P29" s="151"/>
      <c r="Q29" s="1112"/>
      <c r="R29" s="151"/>
      <c r="S29" s="151"/>
      <c r="T29" s="151"/>
      <c r="U29" s="151"/>
      <c r="V29" s="1112"/>
      <c r="W29" s="151"/>
      <c r="X29" s="151"/>
      <c r="Y29" s="151"/>
      <c r="Z29" s="151"/>
      <c r="AA29" s="1112"/>
      <c r="AB29" s="151"/>
      <c r="AC29" s="151"/>
      <c r="AD29" s="151"/>
      <c r="AE29" s="151"/>
      <c r="AF29" s="1112"/>
      <c r="AG29" s="151"/>
      <c r="AH29" s="151"/>
      <c r="AI29" s="151"/>
      <c r="AJ29" s="151"/>
      <c r="AK29" s="1112"/>
      <c r="AL29" s="151"/>
      <c r="AM29" s="151"/>
      <c r="AN29" s="151"/>
      <c r="AO29" s="151"/>
      <c r="AP29" s="1112"/>
      <c r="AQ29" s="151"/>
      <c r="AR29" s="151"/>
      <c r="AS29" s="151"/>
      <c r="AT29" s="151"/>
      <c r="AU29" s="1112"/>
      <c r="AV29" s="151"/>
      <c r="AW29" s="151"/>
      <c r="AX29" s="151"/>
      <c r="AY29" s="151"/>
      <c r="AZ29" s="1112"/>
      <c r="BA29" s="151"/>
      <c r="BB29" s="151"/>
      <c r="BC29" s="151"/>
      <c r="BD29" s="151"/>
      <c r="BE29" s="1112"/>
      <c r="BF29" s="151"/>
      <c r="BG29" s="151"/>
      <c r="BH29" s="788"/>
      <c r="BI29" s="151"/>
      <c r="BJ29" s="1112"/>
      <c r="BK29" s="151"/>
      <c r="BL29" s="151"/>
      <c r="BM29" s="151"/>
      <c r="BN29" s="151"/>
      <c r="BO29" s="1112"/>
      <c r="BP29" s="1112"/>
      <c r="BQ29" s="1112"/>
      <c r="BR29" s="1112"/>
      <c r="BS29" s="839"/>
    </row>
    <row r="30" spans="1:71" s="54" customFormat="1" ht="15">
      <c r="A30" s="225" t="str">
        <f>INDEX(MO_II_NetIG,0,COLUMN())</f>
        <v>Net Investment Gains, mm</v>
      </c>
      <c r="B30" s="232"/>
      <c r="C30" s="1111">
        <f t="shared" si="84" ref="C30:AQ30">INDEX(MO_II_NetIG,0,COLUMN())</f>
        <v>17</v>
      </c>
      <c r="D30" s="1111">
        <f t="shared" si="84"/>
        <v>264</v>
      </c>
      <c r="E30" s="1111">
        <f t="shared" si="84"/>
        <v>55</v>
      </c>
      <c r="F30" s="1111">
        <f t="shared" si="84"/>
        <v>51</v>
      </c>
      <c r="G30" s="1111">
        <f t="shared" si="84"/>
        <v>166</v>
      </c>
      <c r="H30" s="149">
        <f t="shared" si="84"/>
        <v>1</v>
      </c>
      <c r="I30" s="149">
        <f t="shared" si="84"/>
        <v>16</v>
      </c>
      <c r="J30" s="149">
        <f t="shared" si="84"/>
        <v>40</v>
      </c>
      <c r="K30" s="149">
        <f t="shared" si="84"/>
        <v>22</v>
      </c>
      <c r="L30" s="1111">
        <f t="shared" si="84"/>
        <v>79</v>
      </c>
      <c r="M30" s="149">
        <f t="shared" si="84"/>
        <v>10</v>
      </c>
      <c r="N30" s="149">
        <f t="shared" si="84"/>
        <v>10</v>
      </c>
      <c r="O30" s="149">
        <f t="shared" si="84"/>
        <v>15</v>
      </c>
      <c r="P30" s="149">
        <f t="shared" si="84"/>
        <v>-32</v>
      </c>
      <c r="Q30" s="1111">
        <f t="shared" si="84"/>
        <v>3</v>
      </c>
      <c r="R30" s="149">
        <f t="shared" si="84"/>
        <v>-9</v>
      </c>
      <c r="S30" s="149">
        <f t="shared" si="84"/>
        <v>19</v>
      </c>
      <c r="T30" s="149">
        <f t="shared" si="84"/>
        <v>23</v>
      </c>
      <c r="U30" s="149">
        <f t="shared" si="84"/>
        <v>35</v>
      </c>
      <c r="V30" s="1111">
        <f t="shared" si="84"/>
        <v>68</v>
      </c>
      <c r="W30" s="149">
        <f t="shared" si="84"/>
        <v>5</v>
      </c>
      <c r="X30" s="149">
        <f t="shared" si="84"/>
        <v>80</v>
      </c>
      <c r="Y30" s="149">
        <f t="shared" si="84"/>
        <v>61</v>
      </c>
      <c r="Z30" s="149">
        <f t="shared" si="84"/>
        <v>70</v>
      </c>
      <c r="AA30" s="1111">
        <f t="shared" si="84"/>
        <v>216</v>
      </c>
      <c r="AB30" s="149">
        <f t="shared" si="84"/>
        <v>-11</v>
      </c>
      <c r="AC30" s="149">
        <f t="shared" si="84"/>
        <v>36</v>
      </c>
      <c r="AD30" s="149">
        <f t="shared" si="84"/>
        <v>29</v>
      </c>
      <c r="AE30" s="149">
        <f t="shared" si="84"/>
        <v>60</v>
      </c>
      <c r="AF30" s="1111">
        <f t="shared" si="84"/>
        <v>114</v>
      </c>
      <c r="AG30" s="149">
        <f t="shared" si="84"/>
        <v>53</v>
      </c>
      <c r="AH30" s="149">
        <f t="shared" si="84"/>
        <v>25</v>
      </c>
      <c r="AI30" s="149">
        <f t="shared" si="84"/>
        <v>23</v>
      </c>
      <c r="AJ30" s="149">
        <f t="shared" si="84"/>
        <v>12</v>
      </c>
      <c r="AK30" s="1111">
        <f t="shared" si="84"/>
        <v>113</v>
      </c>
      <c r="AL30" s="149">
        <f t="shared" si="84"/>
        <v>-98</v>
      </c>
      <c r="AM30" s="149">
        <f t="shared" si="84"/>
        <v>13</v>
      </c>
      <c r="AN30" s="149">
        <f>INDEX(MO_II_NetIG,0,COLUMN())</f>
        <v>37</v>
      </c>
      <c r="AO30" s="149">
        <f t="shared" si="84"/>
        <v>50</v>
      </c>
      <c r="AP30" s="1111">
        <f t="shared" si="84"/>
        <v>2</v>
      </c>
      <c r="AQ30" s="149">
        <f t="shared" si="84"/>
        <v>44</v>
      </c>
      <c r="AR30" s="149">
        <f t="shared" si="85" ref="AR30:AW30">INDEX(MO_II_NetIG,0,COLUMN())</f>
        <v>61</v>
      </c>
      <c r="AS30" s="149">
        <f t="shared" si="85"/>
        <v>8</v>
      </c>
      <c r="AT30" s="149">
        <f t="shared" si="85"/>
        <v>58</v>
      </c>
      <c r="AU30" s="1111">
        <f t="shared" si="85"/>
        <v>171</v>
      </c>
      <c r="AV30" s="149">
        <f t="shared" si="85"/>
        <v>-23</v>
      </c>
      <c r="AW30" s="149">
        <f t="shared" si="85"/>
        <v>-95</v>
      </c>
      <c r="AX30" s="149">
        <f t="shared" si="86" ref="AX30:BB30">INDEX(MO_II_NetIG,0,COLUMN())</f>
        <v>-93</v>
      </c>
      <c r="AY30" s="149">
        <f t="shared" si="86"/>
        <v>7</v>
      </c>
      <c r="AZ30" s="1111">
        <f t="shared" si="86"/>
        <v>-204</v>
      </c>
      <c r="BA30" s="149">
        <f t="shared" si="86"/>
        <v>6</v>
      </c>
      <c r="BB30" s="149">
        <f t="shared" si="86"/>
        <v>-35</v>
      </c>
      <c r="BC30" s="149">
        <f t="shared" si="87" ref="BC30:BJ30">INDEX(MO_II_NetIG,0,COLUMN())</f>
        <v>-65</v>
      </c>
      <c r="BD30" s="149">
        <f t="shared" si="87"/>
        <v>-11</v>
      </c>
      <c r="BE30" s="1111">
        <f t="shared" si="87"/>
        <v>-105</v>
      </c>
      <c r="BF30" s="149">
        <f t="shared" si="87"/>
        <v>35</v>
      </c>
      <c r="BG30" s="149">
        <f t="shared" si="87"/>
        <v>-65</v>
      </c>
      <c r="BH30" s="787">
        <f>INDEX(MO_II_NetIG,0,COLUMN())</f>
        <v>55</v>
      </c>
      <c r="BI30" s="149">
        <f t="shared" si="87"/>
        <v>15</v>
      </c>
      <c r="BJ30" s="1111">
        <f t="shared" si="87"/>
        <v>40</v>
      </c>
      <c r="BK30" s="149">
        <f t="shared" si="88" ref="BK30:BR30">INDEX(MO_II_NetIG,0,COLUMN())</f>
        <v>15</v>
      </c>
      <c r="BL30" s="149">
        <f t="shared" si="88"/>
        <v>15</v>
      </c>
      <c r="BM30" s="149">
        <f t="shared" si="88"/>
        <v>15</v>
      </c>
      <c r="BN30" s="149">
        <f t="shared" si="88"/>
        <v>15</v>
      </c>
      <c r="BO30" s="1111">
        <f t="shared" si="88"/>
        <v>60</v>
      </c>
      <c r="BP30" s="1111">
        <f t="shared" si="88"/>
        <v>60</v>
      </c>
      <c r="BQ30" s="1111">
        <f t="shared" si="88"/>
        <v>60</v>
      </c>
      <c r="BR30" s="1111">
        <f t="shared" si="88"/>
        <v>60</v>
      </c>
      <c r="BS30" s="840"/>
    </row>
    <row r="31" spans="1:71" s="58" customFormat="1" ht="15">
      <c r="A31" s="239"/>
      <c r="B31" s="240"/>
      <c r="C31" s="1117"/>
      <c r="D31" s="1117"/>
      <c r="E31" s="1117"/>
      <c r="F31" s="1117"/>
      <c r="G31" s="1117"/>
      <c r="H31" s="159"/>
      <c r="I31" s="159"/>
      <c r="J31" s="159"/>
      <c r="K31" s="159"/>
      <c r="L31" s="1117"/>
      <c r="M31" s="159"/>
      <c r="N31" s="159"/>
      <c r="O31" s="159"/>
      <c r="P31" s="159"/>
      <c r="Q31" s="1117"/>
      <c r="R31" s="159"/>
      <c r="S31" s="159"/>
      <c r="T31" s="159"/>
      <c r="U31" s="159"/>
      <c r="V31" s="1117"/>
      <c r="W31" s="159"/>
      <c r="X31" s="159"/>
      <c r="Y31" s="159"/>
      <c r="Z31" s="159"/>
      <c r="AA31" s="1117"/>
      <c r="AB31" s="159"/>
      <c r="AC31" s="159"/>
      <c r="AD31" s="159"/>
      <c r="AE31" s="159"/>
      <c r="AF31" s="1117"/>
      <c r="AG31" s="159"/>
      <c r="AH31" s="159"/>
      <c r="AI31" s="159"/>
      <c r="AJ31" s="159"/>
      <c r="AK31" s="1117"/>
      <c r="AL31" s="159"/>
      <c r="AM31" s="159"/>
      <c r="AN31" s="159"/>
      <c r="AO31" s="159"/>
      <c r="AP31" s="1117"/>
      <c r="AQ31" s="159"/>
      <c r="AR31" s="159"/>
      <c r="AS31" s="159"/>
      <c r="AT31" s="159"/>
      <c r="AU31" s="1117"/>
      <c r="AV31" s="159"/>
      <c r="AW31" s="159"/>
      <c r="AX31" s="159"/>
      <c r="AY31" s="159"/>
      <c r="AZ31" s="1117"/>
      <c r="BA31" s="159"/>
      <c r="BB31" s="159"/>
      <c r="BC31" s="159"/>
      <c r="BD31" s="159"/>
      <c r="BE31" s="1117"/>
      <c r="BF31" s="159"/>
      <c r="BG31" s="159"/>
      <c r="BH31" s="793"/>
      <c r="BI31" s="159"/>
      <c r="BJ31" s="1117"/>
      <c r="BK31" s="159"/>
      <c r="BL31" s="159"/>
      <c r="BM31" s="159"/>
      <c r="BN31" s="159"/>
      <c r="BO31" s="1117"/>
      <c r="BP31" s="1117"/>
      <c r="BQ31" s="1117"/>
      <c r="BR31" s="1117"/>
      <c r="BS31" s="159"/>
    </row>
    <row r="32" spans="1:71" ht="15">
      <c r="A32" s="142" t="s">
        <v>325</v>
      </c>
      <c r="B32" s="838"/>
      <c r="C32" s="891"/>
      <c r="D32" s="891"/>
      <c r="E32" s="891"/>
      <c r="F32" s="891"/>
      <c r="G32" s="891"/>
      <c r="H32" s="891"/>
      <c r="I32" s="891"/>
      <c r="J32" s="891"/>
      <c r="K32" s="891"/>
      <c r="L32" s="891"/>
      <c r="M32" s="891"/>
      <c r="N32" s="891"/>
      <c r="O32" s="891"/>
      <c r="P32" s="891"/>
      <c r="Q32" s="891"/>
      <c r="R32" s="891"/>
      <c r="S32" s="891"/>
      <c r="T32" s="891"/>
      <c r="U32" s="891"/>
      <c r="V32" s="891"/>
      <c r="W32" s="891"/>
      <c r="X32" s="891"/>
      <c r="Y32" s="891"/>
      <c r="Z32" s="891"/>
      <c r="AA32" s="891"/>
      <c r="AB32" s="891"/>
      <c r="AC32" s="891"/>
      <c r="AD32" s="891"/>
      <c r="AE32" s="891"/>
      <c r="AF32" s="891"/>
      <c r="AG32" s="891"/>
      <c r="AH32" s="891"/>
      <c r="AI32" s="891"/>
      <c r="AJ32" s="891"/>
      <c r="AK32" s="891"/>
      <c r="AL32" s="891"/>
      <c r="AM32" s="891"/>
      <c r="AN32" s="891"/>
      <c r="AO32" s="891"/>
      <c r="AP32" s="891"/>
      <c r="AQ32" s="891"/>
      <c r="AR32" s="891"/>
      <c r="AS32" s="891"/>
      <c r="AT32" s="891"/>
      <c r="AU32" s="891"/>
      <c r="AV32" s="891"/>
      <c r="AW32" s="891"/>
      <c r="AX32" s="891"/>
      <c r="AY32" s="891"/>
      <c r="AZ32" s="891"/>
      <c r="BA32" s="891"/>
      <c r="BB32" s="891"/>
      <c r="BC32" s="891"/>
      <c r="BD32" s="891"/>
      <c r="BE32" s="891"/>
      <c r="BF32" s="891"/>
      <c r="BG32" s="891"/>
      <c r="BH32" s="892"/>
      <c r="BI32" s="891"/>
      <c r="BJ32" s="891"/>
      <c r="BK32" s="891"/>
      <c r="BL32" s="891"/>
      <c r="BM32" s="891"/>
      <c r="BN32" s="891"/>
      <c r="BO32" s="891"/>
      <c r="BP32" s="891"/>
      <c r="BQ32" s="891"/>
      <c r="BR32" s="891"/>
      <c r="BS32" s="840"/>
    </row>
    <row r="33" spans="1:71" s="53" customFormat="1" ht="15">
      <c r="A33" s="226" t="str">
        <f>INDEX(MO_RIS_NEP,0,COLUMN())</f>
        <v>Net Earned Premiums</v>
      </c>
      <c r="B33" s="227"/>
      <c r="C33" s="1112">
        <f t="shared" si="89" ref="C33:AQ33">INDEX(MO_RIS_NEP,0,COLUMN())</f>
        <v>21418</v>
      </c>
      <c r="D33" s="1112">
        <f t="shared" si="89"/>
        <v>21432</v>
      </c>
      <c r="E33" s="1112">
        <f t="shared" si="89"/>
        <v>22090</v>
      </c>
      <c r="F33" s="1112">
        <f t="shared" si="89"/>
        <v>22357</v>
      </c>
      <c r="G33" s="1112">
        <f t="shared" si="89"/>
        <v>22637</v>
      </c>
      <c r="H33" s="151">
        <f t="shared" si="89"/>
        <v>5823</v>
      </c>
      <c r="I33" s="151">
        <f t="shared" si="89"/>
        <v>5928</v>
      </c>
      <c r="J33" s="151">
        <f t="shared" si="89"/>
        <v>5983</v>
      </c>
      <c r="K33" s="151">
        <f t="shared" si="89"/>
        <v>5979</v>
      </c>
      <c r="L33" s="1112">
        <f t="shared" si="89"/>
        <v>23713</v>
      </c>
      <c r="M33" s="151">
        <f t="shared" si="89"/>
        <v>5888</v>
      </c>
      <c r="N33" s="151">
        <f t="shared" si="89"/>
        <v>5931</v>
      </c>
      <c r="O33" s="151">
        <f t="shared" si="89"/>
        <v>6032</v>
      </c>
      <c r="P33" s="151">
        <f t="shared" si="89"/>
        <v>6023</v>
      </c>
      <c r="Q33" s="1112">
        <f t="shared" si="89"/>
        <v>23874</v>
      </c>
      <c r="R33" s="151">
        <f t="shared" si="89"/>
        <v>5981</v>
      </c>
      <c r="S33" s="151">
        <f t="shared" si="89"/>
        <v>6067</v>
      </c>
      <c r="T33" s="151">
        <f t="shared" si="89"/>
        <v>6209</v>
      </c>
      <c r="U33" s="151">
        <f t="shared" si="89"/>
        <v>6277</v>
      </c>
      <c r="V33" s="1112">
        <f t="shared" si="89"/>
        <v>24534</v>
      </c>
      <c r="W33" s="151">
        <f t="shared" si="89"/>
        <v>6183</v>
      </c>
      <c r="X33" s="151">
        <f t="shared" si="89"/>
        <v>6351</v>
      </c>
      <c r="Y33" s="151">
        <f t="shared" si="89"/>
        <v>6523</v>
      </c>
      <c r="Z33" s="151">
        <f t="shared" si="89"/>
        <v>6626</v>
      </c>
      <c r="AA33" s="1112">
        <f t="shared" si="89"/>
        <v>25683</v>
      </c>
      <c r="AB33" s="151">
        <f t="shared" si="89"/>
        <v>6537</v>
      </c>
      <c r="AC33" s="151">
        <f t="shared" si="89"/>
        <v>6695</v>
      </c>
      <c r="AD33" s="151">
        <f t="shared" si="89"/>
        <v>6882</v>
      </c>
      <c r="AE33" s="151">
        <f t="shared" si="89"/>
        <v>6945</v>
      </c>
      <c r="AF33" s="1112">
        <f t="shared" si="89"/>
        <v>27059</v>
      </c>
      <c r="AG33" s="151">
        <f t="shared" si="89"/>
        <v>6855</v>
      </c>
      <c r="AH33" s="151">
        <f t="shared" si="89"/>
        <v>6988</v>
      </c>
      <c r="AI33" s="151">
        <f t="shared" si="89"/>
        <v>7179</v>
      </c>
      <c r="AJ33" s="151">
        <f t="shared" si="89"/>
        <v>7250</v>
      </c>
      <c r="AK33" s="1112">
        <f t="shared" si="89"/>
        <v>28272</v>
      </c>
      <c r="AL33" s="151">
        <f t="shared" si="89"/>
        <v>7229</v>
      </c>
      <c r="AM33" s="151">
        <f t="shared" si="89"/>
        <v>6955</v>
      </c>
      <c r="AN33" s="151">
        <f>INDEX(MO_RIS_NEP,0,COLUMN())</f>
        <v>7380</v>
      </c>
      <c r="AO33" s="151">
        <f t="shared" si="89"/>
        <v>7480</v>
      </c>
      <c r="AP33" s="1112">
        <f t="shared" si="89"/>
        <v>29044</v>
      </c>
      <c r="AQ33" s="151">
        <f t="shared" si="89"/>
        <v>7386</v>
      </c>
      <c r="AR33" s="151">
        <f t="shared" si="90" ref="AR33:AW33">INDEX(MO_RIS_NEP,0,COLUMN())</f>
        <v>7616</v>
      </c>
      <c r="AS33" s="151">
        <f t="shared" si="90"/>
        <v>7829</v>
      </c>
      <c r="AT33" s="151">
        <f t="shared" si="90"/>
        <v>8024</v>
      </c>
      <c r="AU33" s="1112">
        <f t="shared" si="90"/>
        <v>30855</v>
      </c>
      <c r="AV33" s="151">
        <f t="shared" si="90"/>
        <v>8014</v>
      </c>
      <c r="AW33" s="151">
        <f t="shared" si="90"/>
        <v>8317</v>
      </c>
      <c r="AX33" s="151">
        <f t="shared" si="91" ref="AX33:BB33">INDEX(MO_RIS_NEP,0,COLUMN())</f>
        <v>8615</v>
      </c>
      <c r="AY33" s="151">
        <f t="shared" si="91"/>
        <v>8817</v>
      </c>
      <c r="AZ33" s="1112">
        <f t="shared" si="91"/>
        <v>33763</v>
      </c>
      <c r="BA33" s="151">
        <f t="shared" si="91"/>
        <v>8854</v>
      </c>
      <c r="BB33" s="151">
        <f t="shared" si="91"/>
        <v>9216</v>
      </c>
      <c r="BC33" s="151">
        <f t="shared" si="92" ref="BC33:BJ33">INDEX(MO_RIS_NEP,0,COLUMN())</f>
        <v>9718</v>
      </c>
      <c r="BD33" s="151">
        <f t="shared" si="92"/>
        <v>9973</v>
      </c>
      <c r="BE33" s="1112">
        <f t="shared" si="92"/>
        <v>37761</v>
      </c>
      <c r="BF33" s="151">
        <f t="shared" si="92"/>
        <v>10126</v>
      </c>
      <c r="BG33" s="151">
        <f t="shared" si="92"/>
        <v>10243</v>
      </c>
      <c r="BH33" s="788">
        <f>INDEX(MO_RIS_NEP,0,COLUMN())</f>
        <v>10704</v>
      </c>
      <c r="BI33" s="151">
        <f t="shared" si="92"/>
        <v>10189.502906</v>
      </c>
      <c r="BJ33" s="1112">
        <f t="shared" si="92"/>
        <v>41262.502906000002</v>
      </c>
      <c r="BK33" s="151">
        <f t="shared" si="93" ref="BK33:BR33">INDEX(MO_RIS_NEP,0,COLUMN())</f>
        <v>10806.459526000001</v>
      </c>
      <c r="BL33" s="151">
        <f t="shared" si="93"/>
        <v>11569.242586</v>
      </c>
      <c r="BM33" s="151">
        <f t="shared" si="93"/>
        <v>11856.311720000002</v>
      </c>
      <c r="BN33" s="151">
        <f t="shared" si="93"/>
        <v>10618.62828554</v>
      </c>
      <c r="BO33" s="1112">
        <f t="shared" si="93"/>
        <v>44850.642117539996</v>
      </c>
      <c r="BP33" s="1112">
        <f t="shared" si="93"/>
        <v>45057.243704854794</v>
      </c>
      <c r="BQ33" s="1112">
        <f t="shared" si="93"/>
        <v>46669.196112054196</v>
      </c>
      <c r="BR33" s="1112">
        <f t="shared" si="93"/>
        <v>48359.394029380543</v>
      </c>
      <c r="BS33" s="839"/>
    </row>
    <row r="34" spans="1:71" s="53" customFormat="1" ht="15">
      <c r="A34" s="226" t="str">
        <f>INDEX(MO_RIS_NetII,0,COLUMN())</f>
        <v>Net Investment Income</v>
      </c>
      <c r="B34" s="227"/>
      <c r="C34" s="1112">
        <f t="shared" si="94" ref="C34:AQ34">INDEX(MO_RIS_NetII,0,COLUMN())</f>
        <v>2776</v>
      </c>
      <c r="D34" s="1112">
        <f t="shared" si="94"/>
        <v>3059</v>
      </c>
      <c r="E34" s="1112">
        <f t="shared" si="94"/>
        <v>2879</v>
      </c>
      <c r="F34" s="1112">
        <f t="shared" si="94"/>
        <v>2889</v>
      </c>
      <c r="G34" s="1112">
        <f t="shared" si="94"/>
        <v>2716</v>
      </c>
      <c r="H34" s="151">
        <f t="shared" si="94"/>
        <v>736</v>
      </c>
      <c r="I34" s="151">
        <f t="shared" si="94"/>
        <v>695</v>
      </c>
      <c r="J34" s="151">
        <f t="shared" si="94"/>
        <v>719</v>
      </c>
      <c r="K34" s="151">
        <f t="shared" si="94"/>
        <v>637</v>
      </c>
      <c r="L34" s="1112">
        <f t="shared" si="94"/>
        <v>2787</v>
      </c>
      <c r="M34" s="151">
        <f t="shared" si="94"/>
        <v>592</v>
      </c>
      <c r="N34" s="151">
        <f t="shared" si="94"/>
        <v>632</v>
      </c>
      <c r="O34" s="151">
        <f t="shared" si="94"/>
        <v>614</v>
      </c>
      <c r="P34" s="151">
        <f t="shared" si="94"/>
        <v>541</v>
      </c>
      <c r="Q34" s="1112">
        <f t="shared" si="94"/>
        <v>2379</v>
      </c>
      <c r="R34" s="151">
        <f t="shared" si="94"/>
        <v>544</v>
      </c>
      <c r="S34" s="151">
        <f t="shared" si="94"/>
        <v>549</v>
      </c>
      <c r="T34" s="151">
        <f t="shared" si="94"/>
        <v>582</v>
      </c>
      <c r="U34" s="151">
        <f t="shared" si="94"/>
        <v>627</v>
      </c>
      <c r="V34" s="1112">
        <f t="shared" si="94"/>
        <v>2302</v>
      </c>
      <c r="W34" s="151">
        <f t="shared" si="94"/>
        <v>610</v>
      </c>
      <c r="X34" s="151">
        <f t="shared" si="94"/>
        <v>598</v>
      </c>
      <c r="Y34" s="151">
        <f t="shared" si="94"/>
        <v>588</v>
      </c>
      <c r="Z34" s="151">
        <f t="shared" si="94"/>
        <v>601</v>
      </c>
      <c r="AA34" s="1112">
        <f t="shared" si="94"/>
        <v>2397</v>
      </c>
      <c r="AB34" s="151">
        <f t="shared" si="94"/>
        <v>603</v>
      </c>
      <c r="AC34" s="151">
        <f t="shared" si="94"/>
        <v>595</v>
      </c>
      <c r="AD34" s="151">
        <f t="shared" si="94"/>
        <v>646</v>
      </c>
      <c r="AE34" s="151">
        <f t="shared" si="94"/>
        <v>630</v>
      </c>
      <c r="AF34" s="1112">
        <f t="shared" si="94"/>
        <v>2474</v>
      </c>
      <c r="AG34" s="151">
        <f t="shared" si="94"/>
        <v>582</v>
      </c>
      <c r="AH34" s="151">
        <f t="shared" si="94"/>
        <v>648</v>
      </c>
      <c r="AI34" s="151">
        <f t="shared" si="94"/>
        <v>622</v>
      </c>
      <c r="AJ34" s="151">
        <f t="shared" si="94"/>
        <v>616</v>
      </c>
      <c r="AK34" s="1112">
        <f t="shared" si="94"/>
        <v>2468</v>
      </c>
      <c r="AL34" s="151">
        <f t="shared" si="94"/>
        <v>611</v>
      </c>
      <c r="AM34" s="151">
        <f t="shared" si="94"/>
        <v>268</v>
      </c>
      <c r="AN34" s="151">
        <f>INDEX(MO_RIS_NetII,0,COLUMN())</f>
        <v>671</v>
      </c>
      <c r="AO34" s="151">
        <f t="shared" si="94"/>
        <v>677</v>
      </c>
      <c r="AP34" s="1112">
        <f t="shared" si="94"/>
        <v>2227</v>
      </c>
      <c r="AQ34" s="151">
        <f t="shared" si="94"/>
        <v>701</v>
      </c>
      <c r="AR34" s="151">
        <f t="shared" si="95" ref="AR34:AW34">INDEX(MO_RIS_NetII,0,COLUMN())</f>
        <v>818</v>
      </c>
      <c r="AS34" s="151">
        <f t="shared" si="95"/>
        <v>771</v>
      </c>
      <c r="AT34" s="151">
        <f t="shared" si="95"/>
        <v>743</v>
      </c>
      <c r="AU34" s="1112">
        <f t="shared" si="95"/>
        <v>3033</v>
      </c>
      <c r="AV34" s="151">
        <f t="shared" si="95"/>
        <v>637</v>
      </c>
      <c r="AW34" s="151">
        <f t="shared" si="95"/>
        <v>707</v>
      </c>
      <c r="AX34" s="151">
        <f t="shared" si="96" ref="AX34:BB34">INDEX(MO_RIS_NetII,0,COLUMN())</f>
        <v>593</v>
      </c>
      <c r="AY34" s="151">
        <f t="shared" si="96"/>
        <v>625</v>
      </c>
      <c r="AZ34" s="1112">
        <f t="shared" si="96"/>
        <v>2562</v>
      </c>
      <c r="BA34" s="151">
        <f t="shared" si="96"/>
        <v>663</v>
      </c>
      <c r="BB34" s="151">
        <f t="shared" si="96"/>
        <v>712</v>
      </c>
      <c r="BC34" s="151">
        <f t="shared" si="97" ref="BC34:BJ34">INDEX(MO_RIS_NetII,0,COLUMN())</f>
        <v>769</v>
      </c>
      <c r="BD34" s="151">
        <f t="shared" si="97"/>
        <v>778</v>
      </c>
      <c r="BE34" s="1112">
        <f t="shared" si="97"/>
        <v>2922</v>
      </c>
      <c r="BF34" s="151">
        <f t="shared" si="97"/>
        <v>846</v>
      </c>
      <c r="BG34" s="151">
        <f t="shared" si="97"/>
        <v>885</v>
      </c>
      <c r="BH34" s="788">
        <f>INDEX(MO_RIS_NetII,0,COLUMN())</f>
        <v>904</v>
      </c>
      <c r="BI34" s="151">
        <f t="shared" si="97"/>
        <v>865.11915956284156</v>
      </c>
      <c r="BJ34" s="1112">
        <f t="shared" si="97"/>
        <v>3500.1191595628416</v>
      </c>
      <c r="BK34" s="151">
        <f t="shared" si="98" ref="BK34:BR34">INDEX(MO_RIS_NetII,0,COLUMN())</f>
        <v>754.31863356164388</v>
      </c>
      <c r="BL34" s="151">
        <f t="shared" si="98"/>
        <v>634.53623483561648</v>
      </c>
      <c r="BM34" s="151">
        <f t="shared" si="98"/>
        <v>713.2906947945205</v>
      </c>
      <c r="BN34" s="151">
        <f t="shared" si="98"/>
        <v>884.83913602191774</v>
      </c>
      <c r="BO34" s="1112">
        <f t="shared" si="98"/>
        <v>2986.9846992136981</v>
      </c>
      <c r="BP34" s="1112">
        <f t="shared" si="98"/>
        <v>3714.3965448000004</v>
      </c>
      <c r="BQ34" s="1112">
        <f t="shared" si="98"/>
        <v>3751.5405102479999</v>
      </c>
      <c r="BR34" s="1112">
        <f t="shared" si="98"/>
        <v>3789.0559153504801</v>
      </c>
      <c r="BS34" s="839"/>
    </row>
    <row r="35" spans="1:71" s="53" customFormat="1" ht="15">
      <c r="A35" s="226" t="str">
        <f>INDEX(MO_RIS_NetIG,0,COLUMN())</f>
        <v>Net Investment Gains</v>
      </c>
      <c r="B35" s="227"/>
      <c r="C35" s="1112">
        <f t="shared" si="99" ref="C35:AQ35">INDEX(MO_RIS_NetIG,0,COLUMN())</f>
        <v>17</v>
      </c>
      <c r="D35" s="1112">
        <f t="shared" si="99"/>
        <v>264</v>
      </c>
      <c r="E35" s="1112">
        <f t="shared" si="99"/>
        <v>55</v>
      </c>
      <c r="F35" s="1112">
        <f t="shared" si="99"/>
        <v>51</v>
      </c>
      <c r="G35" s="1112">
        <f t="shared" si="99"/>
        <v>166</v>
      </c>
      <c r="H35" s="151">
        <f t="shared" si="99"/>
        <v>1</v>
      </c>
      <c r="I35" s="151">
        <f t="shared" si="99"/>
        <v>16</v>
      </c>
      <c r="J35" s="151">
        <f t="shared" si="99"/>
        <v>40</v>
      </c>
      <c r="K35" s="151">
        <f t="shared" si="99"/>
        <v>22</v>
      </c>
      <c r="L35" s="1112">
        <f t="shared" si="99"/>
        <v>79</v>
      </c>
      <c r="M35" s="151">
        <f t="shared" si="99"/>
        <v>10</v>
      </c>
      <c r="N35" s="151">
        <f t="shared" si="99"/>
        <v>10</v>
      </c>
      <c r="O35" s="151">
        <f t="shared" si="99"/>
        <v>15</v>
      </c>
      <c r="P35" s="151">
        <f t="shared" si="99"/>
        <v>-32</v>
      </c>
      <c r="Q35" s="1112">
        <f t="shared" si="99"/>
        <v>3</v>
      </c>
      <c r="R35" s="151">
        <f t="shared" si="99"/>
        <v>-9</v>
      </c>
      <c r="S35" s="151">
        <f t="shared" si="99"/>
        <v>19</v>
      </c>
      <c r="T35" s="151">
        <f t="shared" si="99"/>
        <v>23</v>
      </c>
      <c r="U35" s="151">
        <f t="shared" si="99"/>
        <v>35</v>
      </c>
      <c r="V35" s="1112">
        <f t="shared" si="99"/>
        <v>68</v>
      </c>
      <c r="W35" s="151">
        <f t="shared" si="99"/>
        <v>5</v>
      </c>
      <c r="X35" s="151">
        <f t="shared" si="99"/>
        <v>80</v>
      </c>
      <c r="Y35" s="151">
        <f t="shared" si="99"/>
        <v>61</v>
      </c>
      <c r="Z35" s="151">
        <f t="shared" si="99"/>
        <v>70</v>
      </c>
      <c r="AA35" s="1112">
        <f t="shared" si="99"/>
        <v>216</v>
      </c>
      <c r="AB35" s="151">
        <f t="shared" si="99"/>
        <v>-11</v>
      </c>
      <c r="AC35" s="151">
        <f t="shared" si="99"/>
        <v>36</v>
      </c>
      <c r="AD35" s="151">
        <f t="shared" si="99"/>
        <v>29</v>
      </c>
      <c r="AE35" s="151">
        <f t="shared" si="99"/>
        <v>60</v>
      </c>
      <c r="AF35" s="1112">
        <f t="shared" si="99"/>
        <v>114</v>
      </c>
      <c r="AG35" s="151">
        <f t="shared" si="99"/>
        <v>53</v>
      </c>
      <c r="AH35" s="151">
        <f t="shared" si="99"/>
        <v>25</v>
      </c>
      <c r="AI35" s="151">
        <f t="shared" si="99"/>
        <v>23</v>
      </c>
      <c r="AJ35" s="151">
        <f t="shared" si="99"/>
        <v>12</v>
      </c>
      <c r="AK35" s="1112">
        <f t="shared" si="99"/>
        <v>113</v>
      </c>
      <c r="AL35" s="151">
        <f t="shared" si="99"/>
        <v>-98</v>
      </c>
      <c r="AM35" s="151">
        <f t="shared" si="99"/>
        <v>13</v>
      </c>
      <c r="AN35" s="151">
        <f>INDEX(MO_RIS_NetIG,0,COLUMN())</f>
        <v>37</v>
      </c>
      <c r="AO35" s="151">
        <f t="shared" si="99"/>
        <v>50</v>
      </c>
      <c r="AP35" s="1112">
        <f t="shared" si="99"/>
        <v>2</v>
      </c>
      <c r="AQ35" s="151">
        <f t="shared" si="99"/>
        <v>44</v>
      </c>
      <c r="AR35" s="151">
        <f t="shared" si="100" ref="AR35:AW35">INDEX(MO_RIS_NetIG,0,COLUMN())</f>
        <v>61</v>
      </c>
      <c r="AS35" s="151">
        <f t="shared" si="100"/>
        <v>8</v>
      </c>
      <c r="AT35" s="151">
        <f t="shared" si="100"/>
        <v>58</v>
      </c>
      <c r="AU35" s="1112">
        <f t="shared" si="100"/>
        <v>171</v>
      </c>
      <c r="AV35" s="151">
        <f t="shared" si="100"/>
        <v>-23</v>
      </c>
      <c r="AW35" s="151">
        <f t="shared" si="100"/>
        <v>-95</v>
      </c>
      <c r="AX35" s="151">
        <f t="shared" si="101" ref="AX35:BB35">INDEX(MO_RIS_NetIG,0,COLUMN())</f>
        <v>-93</v>
      </c>
      <c r="AY35" s="151">
        <f t="shared" si="101"/>
        <v>7</v>
      </c>
      <c r="AZ35" s="1112">
        <f t="shared" si="101"/>
        <v>-204</v>
      </c>
      <c r="BA35" s="151">
        <f t="shared" si="101"/>
        <v>6</v>
      </c>
      <c r="BB35" s="151">
        <f t="shared" si="101"/>
        <v>-35</v>
      </c>
      <c r="BC35" s="151">
        <f t="shared" si="102" ref="BC35:BJ35">INDEX(MO_RIS_NetIG,0,COLUMN())</f>
        <v>-65</v>
      </c>
      <c r="BD35" s="151">
        <f t="shared" si="102"/>
        <v>-11</v>
      </c>
      <c r="BE35" s="1112">
        <f t="shared" si="102"/>
        <v>-105</v>
      </c>
      <c r="BF35" s="151">
        <f t="shared" si="102"/>
        <v>35</v>
      </c>
      <c r="BG35" s="151">
        <f t="shared" si="102"/>
        <v>-65</v>
      </c>
      <c r="BH35" s="788">
        <f>INDEX(MO_RIS_NetIG,0,COLUMN())</f>
        <v>55</v>
      </c>
      <c r="BI35" s="151">
        <f t="shared" si="102"/>
        <v>15</v>
      </c>
      <c r="BJ35" s="1112">
        <f t="shared" si="102"/>
        <v>40</v>
      </c>
      <c r="BK35" s="151">
        <f t="shared" si="103" ref="BK35:BR35">INDEX(MO_RIS_NetIG,0,COLUMN())</f>
        <v>15</v>
      </c>
      <c r="BL35" s="151">
        <f t="shared" si="103"/>
        <v>15</v>
      </c>
      <c r="BM35" s="151">
        <f t="shared" si="103"/>
        <v>15</v>
      </c>
      <c r="BN35" s="151">
        <f t="shared" si="103"/>
        <v>15</v>
      </c>
      <c r="BO35" s="1112">
        <f t="shared" si="103"/>
        <v>60</v>
      </c>
      <c r="BP35" s="1112">
        <f t="shared" si="103"/>
        <v>60</v>
      </c>
      <c r="BQ35" s="1112">
        <f t="shared" si="103"/>
        <v>60</v>
      </c>
      <c r="BR35" s="1112">
        <f t="shared" si="103"/>
        <v>60</v>
      </c>
      <c r="BS35" s="839"/>
    </row>
    <row r="36" spans="1:71" s="53" customFormat="1" ht="15">
      <c r="A36" s="677" t="str">
        <f>INDEX(MO_RIS_OtherIncome,0,COLUMN())</f>
        <v>Other Income</v>
      </c>
      <c r="B36" s="233"/>
      <c r="C36" s="1113">
        <f t="shared" si="104" ref="C36:AQ36">INDEX(MO_RIS_OtherIncome,0,COLUMN())</f>
        <v>469</v>
      </c>
      <c r="D36" s="1113">
        <f t="shared" si="104"/>
        <v>357</v>
      </c>
      <c r="E36" s="1113">
        <f t="shared" si="104"/>
        <v>422</v>
      </c>
      <c r="F36" s="1113">
        <f t="shared" si="104"/>
        <v>443</v>
      </c>
      <c r="G36" s="1113">
        <f t="shared" si="104"/>
        <v>672</v>
      </c>
      <c r="H36" s="153">
        <f t="shared" si="104"/>
        <v>148</v>
      </c>
      <c r="I36" s="153">
        <f t="shared" si="104"/>
        <v>146</v>
      </c>
      <c r="J36" s="153">
        <f t="shared" si="104"/>
        <v>144</v>
      </c>
      <c r="K36" s="153">
        <f t="shared" si="104"/>
        <v>145</v>
      </c>
      <c r="L36" s="1113">
        <f t="shared" si="104"/>
        <v>583</v>
      </c>
      <c r="M36" s="153">
        <f t="shared" si="104"/>
        <v>139</v>
      </c>
      <c r="N36" s="153">
        <f t="shared" si="104"/>
        <v>137</v>
      </c>
      <c r="O36" s="153">
        <f t="shared" si="104"/>
        <v>137</v>
      </c>
      <c r="P36" s="153">
        <f t="shared" si="104"/>
        <v>146</v>
      </c>
      <c r="Q36" s="1113">
        <f t="shared" si="104"/>
        <v>559</v>
      </c>
      <c r="R36" s="153">
        <f t="shared" si="104"/>
        <v>170</v>
      </c>
      <c r="S36" s="153">
        <f t="shared" si="104"/>
        <v>150</v>
      </c>
      <c r="T36" s="153">
        <f t="shared" si="104"/>
        <v>147</v>
      </c>
      <c r="U36" s="153">
        <f t="shared" si="104"/>
        <v>254</v>
      </c>
      <c r="V36" s="1113">
        <f t="shared" si="104"/>
        <v>721</v>
      </c>
      <c r="W36" s="153">
        <f t="shared" si="104"/>
        <v>144</v>
      </c>
      <c r="X36" s="153">
        <f t="shared" si="104"/>
        <v>155</v>
      </c>
      <c r="Y36" s="153">
        <f t="shared" si="104"/>
        <v>153</v>
      </c>
      <c r="Z36" s="153">
        <f t="shared" si="104"/>
        <v>154</v>
      </c>
      <c r="AA36" s="1113">
        <f t="shared" si="104"/>
        <v>606</v>
      </c>
      <c r="AB36" s="153">
        <f t="shared" si="104"/>
        <v>157</v>
      </c>
      <c r="AC36" s="153">
        <f t="shared" si="104"/>
        <v>151</v>
      </c>
      <c r="AD36" s="153">
        <f t="shared" si="104"/>
        <v>166</v>
      </c>
      <c r="AE36" s="153">
        <f t="shared" si="104"/>
        <v>161</v>
      </c>
      <c r="AF36" s="1113">
        <f t="shared" si="104"/>
        <v>635</v>
      </c>
      <c r="AG36" s="153">
        <f t="shared" si="104"/>
        <v>181</v>
      </c>
      <c r="AH36" s="153">
        <f t="shared" si="104"/>
        <v>173</v>
      </c>
      <c r="AI36" s="153">
        <f t="shared" si="104"/>
        <v>189</v>
      </c>
      <c r="AJ36" s="153">
        <f t="shared" si="104"/>
        <v>185</v>
      </c>
      <c r="AK36" s="1113">
        <f t="shared" si="104"/>
        <v>728</v>
      </c>
      <c r="AL36" s="153">
        <f t="shared" si="104"/>
        <v>166</v>
      </c>
      <c r="AM36" s="153">
        <f t="shared" si="104"/>
        <v>165</v>
      </c>
      <c r="AN36" s="153">
        <f>INDEX(MO_RIS_OtherIncome,0,COLUMN())</f>
        <v>187</v>
      </c>
      <c r="AO36" s="153">
        <f t="shared" si="104"/>
        <v>190</v>
      </c>
      <c r="AP36" s="1113">
        <f t="shared" si="104"/>
        <v>708</v>
      </c>
      <c r="AQ36" s="153">
        <f t="shared" si="104"/>
        <v>182</v>
      </c>
      <c r="AR36" s="153">
        <f t="shared" si="105" ref="AR36:AW36">INDEX(MO_RIS_OtherIncome,0,COLUMN())</f>
        <v>192</v>
      </c>
      <c r="AS36" s="153">
        <f t="shared" si="105"/>
        <v>197</v>
      </c>
      <c r="AT36" s="153">
        <f t="shared" si="105"/>
        <v>186</v>
      </c>
      <c r="AU36" s="1113">
        <f t="shared" si="105"/>
        <v>757</v>
      </c>
      <c r="AV36" s="153">
        <f t="shared" si="105"/>
        <v>181</v>
      </c>
      <c r="AW36" s="153">
        <f t="shared" si="105"/>
        <v>207</v>
      </c>
      <c r="AX36" s="153">
        <f t="shared" si="106" ref="AX36:BB36">INDEX(MO_RIS_OtherIncome,0,COLUMN())</f>
        <v>188</v>
      </c>
      <c r="AY36" s="153">
        <f t="shared" si="106"/>
        <v>187</v>
      </c>
      <c r="AZ36" s="1113">
        <f t="shared" si="106"/>
        <v>763</v>
      </c>
      <c r="BA36" s="153">
        <f t="shared" si="106"/>
        <v>181</v>
      </c>
      <c r="BB36" s="153">
        <f t="shared" si="106"/>
        <v>205</v>
      </c>
      <c r="BC36" s="153">
        <f t="shared" si="107" ref="BC36:BJ36">INDEX(MO_RIS_OtherIncome,0,COLUMN())</f>
        <v>213</v>
      </c>
      <c r="BD36" s="153">
        <f t="shared" si="107"/>
        <v>187</v>
      </c>
      <c r="BE36" s="1113">
        <f t="shared" si="107"/>
        <v>786</v>
      </c>
      <c r="BF36" s="153">
        <f t="shared" si="107"/>
        <v>221</v>
      </c>
      <c r="BG36" s="153">
        <f t="shared" si="107"/>
        <v>220</v>
      </c>
      <c r="BH36" s="789">
        <f>INDEX(MO_RIS_OtherIncome,0,COLUMN())</f>
        <v>241</v>
      </c>
      <c r="BI36" s="153">
        <f t="shared" si="107"/>
        <v>196.35</v>
      </c>
      <c r="BJ36" s="1113">
        <f t="shared" si="107"/>
        <v>878.35</v>
      </c>
      <c r="BK36" s="153">
        <f t="shared" si="108" ref="BK36:BR36">INDEX(MO_RIS_OtherIncome,0,COLUMN())</f>
        <v>232.05</v>
      </c>
      <c r="BL36" s="153">
        <f t="shared" si="108"/>
        <v>231</v>
      </c>
      <c r="BM36" s="153">
        <f t="shared" si="108"/>
        <v>253.05</v>
      </c>
      <c r="BN36" s="153">
        <f t="shared" si="108"/>
        <v>206.1675</v>
      </c>
      <c r="BO36" s="1113">
        <f t="shared" si="108"/>
        <v>922.2675</v>
      </c>
      <c r="BP36" s="1113">
        <f t="shared" si="108"/>
        <v>968.38087500000006</v>
      </c>
      <c r="BQ36" s="1113">
        <f t="shared" si="108"/>
        <v>1016.7999187500001</v>
      </c>
      <c r="BR36" s="1113">
        <f t="shared" si="108"/>
        <v>1067.6399146875001</v>
      </c>
      <c r="BS36" s="839"/>
    </row>
    <row r="37" spans="1:71" s="54" customFormat="1" ht="15">
      <c r="A37" s="228" t="str">
        <f>INDEX(MO_RIS_REV,0,COLUMN())</f>
        <v>Net Revenue</v>
      </c>
      <c r="B37" s="229"/>
      <c r="C37" s="1110">
        <f t="shared" si="109" ref="C37:AQ37">INDEX(SP_GF_NEP,0,COLUMN())+INDEX(SP_GF_NetII,0,COLUMN())+INDEX(SP_GF_NetIG,0,COLUMN())+INDEX(SP_GF_OtherIncome,0,COLUMN())</f>
        <v>24680</v>
      </c>
      <c r="D37" s="1110">
        <f t="shared" si="109"/>
        <v>25112</v>
      </c>
      <c r="E37" s="1110">
        <f t="shared" si="109"/>
        <v>25446</v>
      </c>
      <c r="F37" s="1110">
        <f t="shared" si="109"/>
        <v>25740</v>
      </c>
      <c r="G37" s="1110">
        <f t="shared" si="109"/>
        <v>26191</v>
      </c>
      <c r="H37" s="161">
        <f t="shared" si="109"/>
        <v>6708</v>
      </c>
      <c r="I37" s="161">
        <f t="shared" si="109"/>
        <v>6785</v>
      </c>
      <c r="J37" s="161">
        <f t="shared" si="109"/>
        <v>6886</v>
      </c>
      <c r="K37" s="161">
        <f t="shared" si="109"/>
        <v>6783</v>
      </c>
      <c r="L37" s="1110">
        <f t="shared" si="109"/>
        <v>27162</v>
      </c>
      <c r="M37" s="161">
        <f t="shared" si="109"/>
        <v>6629</v>
      </c>
      <c r="N37" s="161">
        <f t="shared" si="109"/>
        <v>6710</v>
      </c>
      <c r="O37" s="161">
        <f t="shared" si="109"/>
        <v>6798</v>
      </c>
      <c r="P37" s="161">
        <f t="shared" si="109"/>
        <v>6678</v>
      </c>
      <c r="Q37" s="1110">
        <f t="shared" si="109"/>
        <v>26815</v>
      </c>
      <c r="R37" s="161">
        <f t="shared" si="109"/>
        <v>6686</v>
      </c>
      <c r="S37" s="161">
        <f t="shared" si="109"/>
        <v>6785</v>
      </c>
      <c r="T37" s="161">
        <f t="shared" si="109"/>
        <v>6961</v>
      </c>
      <c r="U37" s="161">
        <f t="shared" si="109"/>
        <v>7193</v>
      </c>
      <c r="V37" s="1110">
        <f t="shared" si="109"/>
        <v>27625</v>
      </c>
      <c r="W37" s="161">
        <f t="shared" si="109"/>
        <v>6942</v>
      </c>
      <c r="X37" s="161">
        <f t="shared" si="109"/>
        <v>7184</v>
      </c>
      <c r="Y37" s="161">
        <f t="shared" si="109"/>
        <v>7325</v>
      </c>
      <c r="Z37" s="161">
        <f t="shared" si="109"/>
        <v>7451</v>
      </c>
      <c r="AA37" s="1110">
        <f t="shared" si="109"/>
        <v>28902</v>
      </c>
      <c r="AB37" s="161">
        <f t="shared" si="109"/>
        <v>7286</v>
      </c>
      <c r="AC37" s="161">
        <f t="shared" si="109"/>
        <v>7477</v>
      </c>
      <c r="AD37" s="161">
        <f t="shared" si="109"/>
        <v>7723</v>
      </c>
      <c r="AE37" s="161">
        <f t="shared" si="109"/>
        <v>7796</v>
      </c>
      <c r="AF37" s="1110">
        <f t="shared" si="109"/>
        <v>30282</v>
      </c>
      <c r="AG37" s="161">
        <f t="shared" si="109"/>
        <v>7671</v>
      </c>
      <c r="AH37" s="161">
        <f t="shared" si="109"/>
        <v>7834</v>
      </c>
      <c r="AI37" s="161">
        <f t="shared" si="109"/>
        <v>8013</v>
      </c>
      <c r="AJ37" s="161">
        <f t="shared" si="109"/>
        <v>8063</v>
      </c>
      <c r="AK37" s="1110">
        <f t="shared" si="109"/>
        <v>31581</v>
      </c>
      <c r="AL37" s="161">
        <f t="shared" si="109"/>
        <v>7908</v>
      </c>
      <c r="AM37" s="161">
        <f t="shared" si="109"/>
        <v>7401</v>
      </c>
      <c r="AN37" s="161">
        <f>INDEX(SP_GF_NEP,0,COLUMN())+INDEX(SP_GF_NetII,0,COLUMN())+INDEX(SP_GF_NetIG,0,COLUMN())+INDEX(SP_GF_OtherIncome,0,COLUMN())</f>
        <v>8275</v>
      </c>
      <c r="AO37" s="161">
        <f t="shared" si="109"/>
        <v>8397</v>
      </c>
      <c r="AP37" s="1110">
        <f t="shared" si="109"/>
        <v>31981</v>
      </c>
      <c r="AQ37" s="161">
        <f t="shared" si="109"/>
        <v>8313</v>
      </c>
      <c r="AR37" s="161">
        <f t="shared" si="110" ref="AR37:AW37">INDEX(SP_GF_NEP,0,COLUMN())+INDEX(SP_GF_NetII,0,COLUMN())+INDEX(SP_GF_NetIG,0,COLUMN())+INDEX(SP_GF_OtherIncome,0,COLUMN())</f>
        <v>8687</v>
      </c>
      <c r="AS37" s="161">
        <f t="shared" si="110"/>
        <v>8805</v>
      </c>
      <c r="AT37" s="161">
        <f t="shared" si="110"/>
        <v>9011</v>
      </c>
      <c r="AU37" s="1110">
        <f t="shared" si="110"/>
        <v>34816</v>
      </c>
      <c r="AV37" s="161">
        <f t="shared" si="110"/>
        <v>8809</v>
      </c>
      <c r="AW37" s="161">
        <f t="shared" si="110"/>
        <v>9136</v>
      </c>
      <c r="AX37" s="161">
        <f t="shared" si="111" ref="AX37:BB37">INDEX(SP_GF_NEP,0,COLUMN())+INDEX(SP_GF_NetII,0,COLUMN())+INDEX(SP_GF_NetIG,0,COLUMN())+INDEX(SP_GF_OtherIncome,0,COLUMN())</f>
        <v>9303</v>
      </c>
      <c r="AY37" s="161">
        <f t="shared" si="111"/>
        <v>9636</v>
      </c>
      <c r="AZ37" s="1110">
        <f t="shared" si="111"/>
        <v>36884</v>
      </c>
      <c r="BA37" s="161">
        <f t="shared" si="111"/>
        <v>9704</v>
      </c>
      <c r="BB37" s="161">
        <f t="shared" si="111"/>
        <v>10098</v>
      </c>
      <c r="BC37" s="161">
        <f t="shared" si="112" ref="BC37:BJ37">INDEX(SP_GF_NEP,0,COLUMN())+INDEX(SP_GF_NetII,0,COLUMN())+INDEX(SP_GF_NetIG,0,COLUMN())+INDEX(SP_GF_OtherIncome,0,COLUMN())</f>
        <v>10635</v>
      </c>
      <c r="BD37" s="161">
        <f t="shared" si="112"/>
        <v>10927</v>
      </c>
      <c r="BE37" s="1110">
        <f t="shared" si="112"/>
        <v>41364</v>
      </c>
      <c r="BF37" s="161">
        <f t="shared" si="112"/>
        <v>11228</v>
      </c>
      <c r="BG37" s="161">
        <f t="shared" si="112"/>
        <v>11283</v>
      </c>
      <c r="BH37" s="786">
        <f>INDEX(SP_GF_NEP,0,COLUMN())+INDEX(SP_GF_NetII,0,COLUMN())+INDEX(SP_GF_NetIG,0,COLUMN())+INDEX(SP_GF_OtherIncome,0,COLUMN())</f>
        <v>11904</v>
      </c>
      <c r="BI37" s="161">
        <f t="shared" si="112"/>
        <v>11265.972065562843</v>
      </c>
      <c r="BJ37" s="1110">
        <f t="shared" si="112"/>
        <v>45680.972065562841</v>
      </c>
      <c r="BK37" s="161">
        <f t="shared" si="113" ref="BK37:BR37">INDEX(SP_GF_NEP,0,COLUMN())+INDEX(SP_GF_NetII,0,COLUMN())+INDEX(SP_GF_NetIG,0,COLUMN())+INDEX(SP_GF_OtherIncome,0,COLUMN())</f>
        <v>11807.828159561644</v>
      </c>
      <c r="BL37" s="161">
        <f t="shared" si="113"/>
        <v>12449.778820835616</v>
      </c>
      <c r="BM37" s="161">
        <f t="shared" si="113"/>
        <v>12837.652414794522</v>
      </c>
      <c r="BN37" s="161">
        <f t="shared" si="113"/>
        <v>11724.634921561918</v>
      </c>
      <c r="BO37" s="1110">
        <f t="shared" si="113"/>
        <v>48819.894316753693</v>
      </c>
      <c r="BP37" s="1110">
        <f t="shared" si="113"/>
        <v>49800.021124654799</v>
      </c>
      <c r="BQ37" s="1110">
        <f t="shared" si="113"/>
        <v>51497.536541052199</v>
      </c>
      <c r="BR37" s="1110">
        <f t="shared" si="113"/>
        <v>53276.08985941852</v>
      </c>
      <c r="BS37" s="840"/>
    </row>
    <row r="38" spans="1:71" s="53" customFormat="1" ht="15">
      <c r="A38" s="226" t="str">
        <f>INDEX(MO_RIS_Loss,0,COLUMN())</f>
        <v>Loss and LAE</v>
      </c>
      <c r="B38" s="227"/>
      <c r="C38" s="1112">
        <f t="shared" si="114" ref="C38:AQ38">INDEX(MO_RIS_Loss,0,COLUMN())</f>
        <v>12408</v>
      </c>
      <c r="D38" s="1112">
        <f t="shared" si="114"/>
        <v>13210</v>
      </c>
      <c r="E38" s="1112">
        <f t="shared" si="114"/>
        <v>16276</v>
      </c>
      <c r="F38" s="1112">
        <f t="shared" si="114"/>
        <v>14676</v>
      </c>
      <c r="G38" s="1112">
        <f t="shared" si="114"/>
        <v>13307</v>
      </c>
      <c r="H38" s="151">
        <f t="shared" si="114"/>
        <v>3315</v>
      </c>
      <c r="I38" s="151">
        <f t="shared" si="114"/>
        <v>3826</v>
      </c>
      <c r="J38" s="151">
        <f t="shared" si="114"/>
        <v>3520</v>
      </c>
      <c r="K38" s="151">
        <f t="shared" si="114"/>
        <v>3209</v>
      </c>
      <c r="L38" s="1112">
        <f t="shared" si="114"/>
        <v>13870</v>
      </c>
      <c r="M38" s="151">
        <f t="shared" si="114"/>
        <v>3431</v>
      </c>
      <c r="N38" s="151">
        <f t="shared" si="114"/>
        <v>3547</v>
      </c>
      <c r="O38" s="151">
        <f t="shared" si="114"/>
        <v>3382</v>
      </c>
      <c r="P38" s="151">
        <f t="shared" si="114"/>
        <v>3363</v>
      </c>
      <c r="Q38" s="1112">
        <f t="shared" si="114"/>
        <v>13723</v>
      </c>
      <c r="R38" s="151">
        <f t="shared" si="114"/>
        <v>3712</v>
      </c>
      <c r="S38" s="151">
        <f t="shared" si="114"/>
        <v>3762</v>
      </c>
      <c r="T38" s="151">
        <f t="shared" si="114"/>
        <v>3856</v>
      </c>
      <c r="U38" s="151">
        <f t="shared" si="114"/>
        <v>3740</v>
      </c>
      <c r="V38" s="1112">
        <f t="shared" si="114"/>
        <v>15070</v>
      </c>
      <c r="W38" s="151">
        <f t="shared" si="114"/>
        <v>4094</v>
      </c>
      <c r="X38" s="151">
        <f t="shared" si="114"/>
        <v>4225</v>
      </c>
      <c r="Y38" s="151">
        <f t="shared" si="114"/>
        <v>4806</v>
      </c>
      <c r="Z38" s="151">
        <f t="shared" si="114"/>
        <v>4342</v>
      </c>
      <c r="AA38" s="1112">
        <f t="shared" si="114"/>
        <v>17467</v>
      </c>
      <c r="AB38" s="151">
        <f t="shared" si="114"/>
        <v>4296</v>
      </c>
      <c r="AC38" s="151">
        <f t="shared" si="114"/>
        <v>4562</v>
      </c>
      <c r="AD38" s="151">
        <f t="shared" si="114"/>
        <v>4655</v>
      </c>
      <c r="AE38" s="151">
        <f t="shared" si="114"/>
        <v>4778</v>
      </c>
      <c r="AF38" s="1112">
        <f t="shared" si="114"/>
        <v>18291</v>
      </c>
      <c r="AG38" s="151">
        <f t="shared" si="114"/>
        <v>4442</v>
      </c>
      <c r="AH38" s="151">
        <f t="shared" si="114"/>
        <v>4821</v>
      </c>
      <c r="AI38" s="151">
        <f t="shared" si="114"/>
        <v>5230</v>
      </c>
      <c r="AJ38" s="151">
        <f t="shared" si="114"/>
        <v>4640</v>
      </c>
      <c r="AK38" s="1112">
        <f t="shared" si="114"/>
        <v>19133</v>
      </c>
      <c r="AL38" s="151">
        <f t="shared" si="114"/>
        <v>4789</v>
      </c>
      <c r="AM38" s="151">
        <f t="shared" si="114"/>
        <v>5107</v>
      </c>
      <c r="AN38" s="151">
        <f>INDEX(MO_RIS_Loss,0,COLUMN())</f>
        <v>4886</v>
      </c>
      <c r="AO38" s="151">
        <f t="shared" si="114"/>
        <v>4341</v>
      </c>
      <c r="AP38" s="1112">
        <f t="shared" si="114"/>
        <v>19123</v>
      </c>
      <c r="AQ38" s="151">
        <f t="shared" si="114"/>
        <v>4970</v>
      </c>
      <c r="AR38" s="151">
        <f t="shared" si="115" ref="AR38:AW38">INDEX(MO_RIS_Loss,0,COLUMN())</f>
        <v>5045</v>
      </c>
      <c r="AS38" s="151">
        <f t="shared" si="115"/>
        <v>5464</v>
      </c>
      <c r="AT38" s="151">
        <f t="shared" si="115"/>
        <v>4819</v>
      </c>
      <c r="AU38" s="1112">
        <f t="shared" si="115"/>
        <v>20298</v>
      </c>
      <c r="AV38" s="151">
        <f t="shared" si="115"/>
        <v>5039</v>
      </c>
      <c r="AW38" s="151">
        <f t="shared" si="115"/>
        <v>5803</v>
      </c>
      <c r="AX38" s="151">
        <f t="shared" si="116" ref="AX38:BB38">INDEX(MO_RIS_Loss,0,COLUMN())</f>
        <v>6088</v>
      </c>
      <c r="AY38" s="151">
        <f t="shared" si="116"/>
        <v>5924</v>
      </c>
      <c r="AZ38" s="1112">
        <f t="shared" si="116"/>
        <v>22854</v>
      </c>
      <c r="BA38" s="151">
        <f t="shared" si="116"/>
        <v>5959</v>
      </c>
      <c r="BB38" s="151">
        <f t="shared" si="116"/>
        <v>7227</v>
      </c>
      <c r="BC38" s="151">
        <f t="shared" si="117" ref="BC38:BJ38">INDEX(MO_RIS_Loss,0,COLUMN())</f>
        <v>7149</v>
      </c>
      <c r="BD38" s="151">
        <f t="shared" si="117"/>
        <v>5880</v>
      </c>
      <c r="BE38" s="1112">
        <f t="shared" si="117"/>
        <v>26215</v>
      </c>
      <c r="BF38" s="151">
        <f t="shared" si="117"/>
        <v>6656</v>
      </c>
      <c r="BG38" s="151">
        <f t="shared" si="117"/>
        <v>7373</v>
      </c>
      <c r="BH38" s="788">
        <f>INDEX(MO_RIS_Loss,0,COLUMN())</f>
        <v>6996</v>
      </c>
      <c r="BI38" s="151">
        <f t="shared" si="117"/>
        <v>6446.8624150480009</v>
      </c>
      <c r="BJ38" s="1112">
        <f t="shared" si="117"/>
        <v>27471.862415048003</v>
      </c>
      <c r="BK38" s="151">
        <f t="shared" si="118" ref="BK38:BR38">INDEX(MO_RIS_Loss,0,COLUMN())</f>
        <v>6864.1226608760007</v>
      </c>
      <c r="BL38" s="151">
        <f t="shared" si="118"/>
        <v>7686.9697183070002</v>
      </c>
      <c r="BM38" s="151">
        <f t="shared" si="118"/>
        <v>7700.0018218750001</v>
      </c>
      <c r="BN38" s="151">
        <f t="shared" si="118"/>
        <v>6717.9122313938806</v>
      </c>
      <c r="BO38" s="1112">
        <f t="shared" si="118"/>
        <v>28969.006432451883</v>
      </c>
      <c r="BP38" s="1112">
        <f t="shared" si="118"/>
        <v>29263.263061557045</v>
      </c>
      <c r="BQ38" s="1112">
        <f t="shared" si="118"/>
        <v>29845.172860943087</v>
      </c>
      <c r="BR38" s="1112">
        <f t="shared" si="118"/>
        <v>31411.718779110251</v>
      </c>
      <c r="BS38" s="839"/>
    </row>
    <row r="39" spans="1:71" s="53" customFormat="1" ht="15">
      <c r="A39" s="226" t="str">
        <f>INDEX(MO_RIS_PAE,0,COLUMN())</f>
        <v>Policy Acquisition Expenses</v>
      </c>
      <c r="B39" s="227"/>
      <c r="C39" s="1112">
        <f t="shared" si="119" ref="C39:AQ39">INDEX(MO_RIS_PAE,0,COLUMN())</f>
        <v>3813</v>
      </c>
      <c r="D39" s="1112">
        <f t="shared" si="119"/>
        <v>3802</v>
      </c>
      <c r="E39" s="1112">
        <f t="shared" si="119"/>
        <v>3876</v>
      </c>
      <c r="F39" s="1112">
        <f t="shared" si="119"/>
        <v>3910</v>
      </c>
      <c r="G39" s="1112">
        <f t="shared" si="119"/>
        <v>3821</v>
      </c>
      <c r="H39" s="151">
        <f t="shared" si="119"/>
        <v>950</v>
      </c>
      <c r="I39" s="151">
        <f t="shared" si="119"/>
        <v>965</v>
      </c>
      <c r="J39" s="151">
        <f t="shared" si="119"/>
        <v>984</v>
      </c>
      <c r="K39" s="151">
        <f t="shared" si="119"/>
        <v>983</v>
      </c>
      <c r="L39" s="1112">
        <f t="shared" si="119"/>
        <v>3882</v>
      </c>
      <c r="M39" s="151">
        <f t="shared" si="119"/>
        <v>963</v>
      </c>
      <c r="N39" s="151">
        <f t="shared" si="119"/>
        <v>963</v>
      </c>
      <c r="O39" s="151">
        <f t="shared" si="119"/>
        <v>987</v>
      </c>
      <c r="P39" s="151">
        <f t="shared" si="119"/>
        <v>972</v>
      </c>
      <c r="Q39" s="1112">
        <f t="shared" si="119"/>
        <v>3885</v>
      </c>
      <c r="R39" s="151">
        <f t="shared" si="119"/>
        <v>971</v>
      </c>
      <c r="S39" s="151">
        <f t="shared" si="119"/>
        <v>989</v>
      </c>
      <c r="T39" s="151">
        <f t="shared" si="119"/>
        <v>1012</v>
      </c>
      <c r="U39" s="151">
        <f t="shared" si="119"/>
        <v>1013</v>
      </c>
      <c r="V39" s="1112">
        <f t="shared" si="119"/>
        <v>3985</v>
      </c>
      <c r="W39" s="151">
        <f t="shared" si="119"/>
        <v>1003</v>
      </c>
      <c r="X39" s="151">
        <f t="shared" si="119"/>
        <v>1032</v>
      </c>
      <c r="Y39" s="151">
        <f t="shared" si="119"/>
        <v>1059</v>
      </c>
      <c r="Z39" s="151">
        <f t="shared" si="119"/>
        <v>1072</v>
      </c>
      <c r="AA39" s="1112">
        <f t="shared" si="119"/>
        <v>4166</v>
      </c>
      <c r="AB39" s="151">
        <f t="shared" si="119"/>
        <v>1061</v>
      </c>
      <c r="AC39" s="151">
        <f t="shared" si="119"/>
        <v>1081</v>
      </c>
      <c r="AD39" s="151">
        <f t="shared" si="119"/>
        <v>1117</v>
      </c>
      <c r="AE39" s="151">
        <f t="shared" si="119"/>
        <v>1122</v>
      </c>
      <c r="AF39" s="1112">
        <f t="shared" si="119"/>
        <v>4381</v>
      </c>
      <c r="AG39" s="151">
        <f t="shared" si="119"/>
        <v>1117</v>
      </c>
      <c r="AH39" s="151">
        <f t="shared" si="119"/>
        <v>1134</v>
      </c>
      <c r="AI39" s="151">
        <f t="shared" si="119"/>
        <v>1169</v>
      </c>
      <c r="AJ39" s="151">
        <f t="shared" si="119"/>
        <v>1181</v>
      </c>
      <c r="AK39" s="1112">
        <f t="shared" si="119"/>
        <v>4601</v>
      </c>
      <c r="AL39" s="151">
        <f t="shared" si="119"/>
        <v>1178</v>
      </c>
      <c r="AM39" s="151">
        <f t="shared" si="119"/>
        <v>1173</v>
      </c>
      <c r="AN39" s="151">
        <f>INDEX(MO_RIS_PAE,0,COLUMN())</f>
        <v>1207</v>
      </c>
      <c r="AO39" s="151">
        <f t="shared" si="119"/>
        <v>1215</v>
      </c>
      <c r="AP39" s="1112">
        <f t="shared" si="119"/>
        <v>4773</v>
      </c>
      <c r="AQ39" s="151">
        <f t="shared" si="119"/>
        <v>1207</v>
      </c>
      <c r="AR39" s="151">
        <f t="shared" si="120" ref="AR39:AW39">INDEX(MO_RIS_PAE,0,COLUMN())</f>
        <v>1254</v>
      </c>
      <c r="AS39" s="151">
        <f t="shared" si="120"/>
        <v>1281</v>
      </c>
      <c r="AT39" s="151">
        <f t="shared" si="120"/>
        <v>1301</v>
      </c>
      <c r="AU39" s="1112">
        <f t="shared" si="120"/>
        <v>5043</v>
      </c>
      <c r="AV39" s="151">
        <f t="shared" si="120"/>
        <v>1310</v>
      </c>
      <c r="AW39" s="151">
        <f t="shared" si="120"/>
        <v>1365</v>
      </c>
      <c r="AX39" s="151">
        <f t="shared" si="121" ref="AX39:BB39">INDEX(MO_RIS_PAE,0,COLUMN())</f>
        <v>1406</v>
      </c>
      <c r="AY39" s="151">
        <f t="shared" si="121"/>
        <v>1434</v>
      </c>
      <c r="AZ39" s="1112">
        <f t="shared" si="121"/>
        <v>5515</v>
      </c>
      <c r="BA39" s="151">
        <f t="shared" si="121"/>
        <v>1462</v>
      </c>
      <c r="BB39" s="151">
        <f t="shared" si="121"/>
        <v>1519</v>
      </c>
      <c r="BC39" s="151">
        <f t="shared" si="122" ref="BC39:BJ39">INDEX(MO_RIS_PAE,0,COLUMN())</f>
        <v>1604</v>
      </c>
      <c r="BD39" s="151">
        <f t="shared" si="122"/>
        <v>1641</v>
      </c>
      <c r="BE39" s="1112">
        <f t="shared" si="122"/>
        <v>6226</v>
      </c>
      <c r="BF39" s="151">
        <f t="shared" si="122"/>
        <v>1698</v>
      </c>
      <c r="BG39" s="151">
        <f t="shared" si="122"/>
        <v>1678</v>
      </c>
      <c r="BH39" s="788">
        <f>INDEX(MO_RIS_PAE,0,COLUMN())</f>
        <v>1790</v>
      </c>
      <c r="BI39" s="151">
        <f t="shared" si="122"/>
        <v>1608.3653612399999</v>
      </c>
      <c r="BJ39" s="1112">
        <f t="shared" si="122"/>
        <v>6774.3653612399994</v>
      </c>
      <c r="BK39" s="151">
        <f t="shared" si="123" ref="BK39:BR39">INDEX(MO_RIS_PAE,0,COLUMN())</f>
        <v>1779.3013017880003</v>
      </c>
      <c r="BL39" s="151">
        <f t="shared" si="123"/>
        <v>1902.025952299</v>
      </c>
      <c r="BM39" s="151">
        <f t="shared" si="123"/>
        <v>1948.9009908170001</v>
      </c>
      <c r="BN39" s="151">
        <f t="shared" si="123"/>
        <v>1675.1323659312002</v>
      </c>
      <c r="BO39" s="1112">
        <f t="shared" si="123"/>
        <v>7305.3606108352005</v>
      </c>
      <c r="BP39" s="1112">
        <f t="shared" si="123"/>
        <v>7358.9070987948835</v>
      </c>
      <c r="BQ39" s="1112">
        <f t="shared" si="123"/>
        <v>7314.963116018288</v>
      </c>
      <c r="BR39" s="1112">
        <f t="shared" si="123"/>
        <v>7897.1701237441366</v>
      </c>
      <c r="BS39" s="839"/>
    </row>
    <row r="40" spans="1:71" s="53" customFormat="1" ht="15">
      <c r="A40" s="226" t="str">
        <f>INDEX(MO_RIS_OOE,0,COLUMN())</f>
        <v>Other Operating Expenses</v>
      </c>
      <c r="B40" s="227"/>
      <c r="C40" s="1112">
        <f t="shared" si="124" ref="C40:AQ40">INDEX(MO_RIS_OOE,0,COLUMN())</f>
        <v>3366</v>
      </c>
      <c r="D40" s="1112">
        <f t="shared" si="124"/>
        <v>3406</v>
      </c>
      <c r="E40" s="1112">
        <f t="shared" si="124"/>
        <v>3556</v>
      </c>
      <c r="F40" s="1112">
        <f t="shared" si="124"/>
        <v>3610</v>
      </c>
      <c r="G40" s="1112">
        <f t="shared" si="124"/>
        <v>3757</v>
      </c>
      <c r="H40" s="151">
        <f t="shared" si="124"/>
        <v>881</v>
      </c>
      <c r="I40" s="151">
        <f t="shared" si="124"/>
        <v>1001</v>
      </c>
      <c r="J40" s="151">
        <f t="shared" si="124"/>
        <v>1031</v>
      </c>
      <c r="K40" s="151">
        <f t="shared" si="124"/>
        <v>1039</v>
      </c>
      <c r="L40" s="1112">
        <f t="shared" si="124"/>
        <v>3952</v>
      </c>
      <c r="M40" s="151">
        <f t="shared" si="124"/>
        <v>995</v>
      </c>
      <c r="N40" s="151">
        <f t="shared" si="124"/>
        <v>1032</v>
      </c>
      <c r="O40" s="151">
        <f t="shared" si="124"/>
        <v>1028</v>
      </c>
      <c r="P40" s="151">
        <f t="shared" si="124"/>
        <v>1039</v>
      </c>
      <c r="Q40" s="1112">
        <f t="shared" si="124"/>
        <v>4094</v>
      </c>
      <c r="R40" s="151">
        <f t="shared" si="124"/>
        <v>995</v>
      </c>
      <c r="S40" s="151">
        <f t="shared" si="124"/>
        <v>1054</v>
      </c>
      <c r="T40" s="151">
        <f t="shared" si="124"/>
        <v>1057</v>
      </c>
      <c r="U40" s="151">
        <f t="shared" si="124"/>
        <v>1048</v>
      </c>
      <c r="V40" s="1112">
        <f t="shared" si="124"/>
        <v>4154</v>
      </c>
      <c r="W40" s="151">
        <f t="shared" si="124"/>
        <v>996</v>
      </c>
      <c r="X40" s="151">
        <f t="shared" si="124"/>
        <v>1045</v>
      </c>
      <c r="Y40" s="151">
        <f t="shared" si="124"/>
        <v>1045</v>
      </c>
      <c r="Z40" s="151">
        <f t="shared" si="124"/>
        <v>1084</v>
      </c>
      <c r="AA40" s="1112">
        <f t="shared" si="124"/>
        <v>4170</v>
      </c>
      <c r="AB40" s="151">
        <f t="shared" si="124"/>
        <v>1062</v>
      </c>
      <c r="AC40" s="151">
        <f t="shared" si="124"/>
        <v>1113</v>
      </c>
      <c r="AD40" s="151">
        <f t="shared" si="124"/>
        <v>1059</v>
      </c>
      <c r="AE40" s="151">
        <f t="shared" si="124"/>
        <v>1063</v>
      </c>
      <c r="AF40" s="1112">
        <f t="shared" si="124"/>
        <v>4297</v>
      </c>
      <c r="AG40" s="151">
        <f t="shared" si="124"/>
        <v>1057</v>
      </c>
      <c r="AH40" s="151">
        <f t="shared" si="124"/>
        <v>1125</v>
      </c>
      <c r="AI40" s="151">
        <f t="shared" si="124"/>
        <v>1098</v>
      </c>
      <c r="AJ40" s="151">
        <f t="shared" si="124"/>
        <v>1085</v>
      </c>
      <c r="AK40" s="1112">
        <f t="shared" si="124"/>
        <v>4365</v>
      </c>
      <c r="AL40" s="151">
        <f t="shared" si="124"/>
        <v>1137</v>
      </c>
      <c r="AM40" s="151">
        <f t="shared" si="124"/>
        <v>1121</v>
      </c>
      <c r="AN40" s="151">
        <f>INDEX(MO_RIS_OOE,0,COLUMN())</f>
        <v>1109</v>
      </c>
      <c r="AO40" s="151">
        <f t="shared" si="124"/>
        <v>1142</v>
      </c>
      <c r="AP40" s="1112">
        <f t="shared" si="124"/>
        <v>4509</v>
      </c>
      <c r="AQ40" s="151">
        <f t="shared" si="124"/>
        <v>1163</v>
      </c>
      <c r="AR40" s="151">
        <f t="shared" si="125" ref="AR40:AW40">INDEX(MO_RIS_OOE,0,COLUMN())</f>
        <v>1174</v>
      </c>
      <c r="AS40" s="151">
        <f t="shared" si="125"/>
        <v>1187</v>
      </c>
      <c r="AT40" s="151">
        <f t="shared" si="125"/>
        <v>1153</v>
      </c>
      <c r="AU40" s="1112">
        <f t="shared" si="125"/>
        <v>4677</v>
      </c>
      <c r="AV40" s="151">
        <f t="shared" si="125"/>
        <v>1191</v>
      </c>
      <c r="AW40" s="151">
        <f t="shared" si="125"/>
        <v>1223</v>
      </c>
      <c r="AX40" s="151">
        <f t="shared" si="126" ref="AX40:BB40">INDEX(MO_RIS_OOE,0,COLUMN())</f>
        <v>1193</v>
      </c>
      <c r="AY40" s="151">
        <f t="shared" si="126"/>
        <v>1203</v>
      </c>
      <c r="AZ40" s="1112">
        <f t="shared" si="126"/>
        <v>4810</v>
      </c>
      <c r="BA40" s="151">
        <f t="shared" si="126"/>
        <v>1267</v>
      </c>
      <c r="BB40" s="151">
        <f t="shared" si="126"/>
        <v>1308</v>
      </c>
      <c r="BC40" s="151">
        <f t="shared" si="127" ref="BC40:BJ40">INDEX(MO_RIS_OOE,0,COLUMN())</f>
        <v>1312</v>
      </c>
      <c r="BD40" s="151">
        <f t="shared" si="127"/>
        <v>1289</v>
      </c>
      <c r="BE40" s="1112">
        <f t="shared" si="127"/>
        <v>5176</v>
      </c>
      <c r="BF40" s="151">
        <f t="shared" si="127"/>
        <v>1406</v>
      </c>
      <c r="BG40" s="151">
        <f t="shared" si="127"/>
        <v>1478</v>
      </c>
      <c r="BH40" s="788">
        <f>INDEX(MO_RIS_OOE,0,COLUMN())</f>
        <v>1460</v>
      </c>
      <c r="BI40" s="151">
        <f t="shared" si="127"/>
        <v>1485.3349093000002</v>
      </c>
      <c r="BJ40" s="1112">
        <f t="shared" si="127"/>
        <v>5829.3349092999997</v>
      </c>
      <c r="BK40" s="151">
        <f t="shared" si="128" ref="BK40:BR40">INDEX(MO_RIS_OOE,0,COLUMN())</f>
        <v>1606.6739965400002</v>
      </c>
      <c r="BL40" s="151">
        <f t="shared" si="128"/>
        <v>1771.2838385549999</v>
      </c>
      <c r="BM40" s="151">
        <f t="shared" si="128"/>
        <v>1808.0047740149998</v>
      </c>
      <c r="BN40" s="151">
        <f t="shared" si="128"/>
        <v>1543.4733887386001</v>
      </c>
      <c r="BO40" s="1112">
        <f t="shared" si="128"/>
        <v>6729.4359978486</v>
      </c>
      <c r="BP40" s="1112">
        <f t="shared" si="128"/>
        <v>6890.1938063976049</v>
      </c>
      <c r="BQ40" s="1112">
        <f t="shared" si="128"/>
        <v>7112.1761669246534</v>
      </c>
      <c r="BR40" s="1112">
        <f t="shared" si="128"/>
        <v>7344.2281378713196</v>
      </c>
      <c r="BS40" s="839"/>
    </row>
    <row r="41" spans="1:71" s="53" customFormat="1" ht="15">
      <c r="A41" s="677" t="str">
        <f>INDEX(MO_RIS_IE,0,COLUMN())</f>
        <v>Interest Expense</v>
      </c>
      <c r="B41" s="233"/>
      <c r="C41" s="1113">
        <f t="shared" si="129" ref="C41:AQ41">INDEX(MO_RIS_IE,0,COLUMN())</f>
        <v>382</v>
      </c>
      <c r="D41" s="1113">
        <f t="shared" si="129"/>
        <v>388</v>
      </c>
      <c r="E41" s="1113">
        <f t="shared" si="129"/>
        <v>386</v>
      </c>
      <c r="F41" s="1113">
        <f t="shared" si="129"/>
        <v>378</v>
      </c>
      <c r="G41" s="1113">
        <f t="shared" si="129"/>
        <v>361</v>
      </c>
      <c r="H41" s="153">
        <f t="shared" si="129"/>
        <v>92</v>
      </c>
      <c r="I41" s="153">
        <f t="shared" si="129"/>
        <v>92</v>
      </c>
      <c r="J41" s="153">
        <f t="shared" si="129"/>
        <v>93</v>
      </c>
      <c r="K41" s="153">
        <f t="shared" si="129"/>
        <v>92</v>
      </c>
      <c r="L41" s="1113">
        <f t="shared" si="129"/>
        <v>369</v>
      </c>
      <c r="M41" s="153">
        <f t="shared" si="129"/>
        <v>92</v>
      </c>
      <c r="N41" s="153">
        <f t="shared" si="129"/>
        <v>92</v>
      </c>
      <c r="O41" s="153">
        <f t="shared" si="129"/>
        <v>94</v>
      </c>
      <c r="P41" s="153">
        <f t="shared" si="129"/>
        <v>95</v>
      </c>
      <c r="Q41" s="1113">
        <f t="shared" si="129"/>
        <v>373</v>
      </c>
      <c r="R41" s="153">
        <f t="shared" si="129"/>
        <v>91</v>
      </c>
      <c r="S41" s="153">
        <f t="shared" si="129"/>
        <v>93</v>
      </c>
      <c r="T41" s="153">
        <f t="shared" si="129"/>
        <v>89</v>
      </c>
      <c r="U41" s="153">
        <f t="shared" si="129"/>
        <v>90</v>
      </c>
      <c r="V41" s="1113">
        <f t="shared" si="129"/>
        <v>363</v>
      </c>
      <c r="W41" s="153">
        <f t="shared" si="129"/>
        <v>89</v>
      </c>
      <c r="X41" s="153">
        <f t="shared" si="129"/>
        <v>92</v>
      </c>
      <c r="Y41" s="153">
        <f t="shared" si="129"/>
        <v>95</v>
      </c>
      <c r="Z41" s="153">
        <f t="shared" si="129"/>
        <v>93</v>
      </c>
      <c r="AA41" s="1113">
        <f t="shared" si="129"/>
        <v>369</v>
      </c>
      <c r="AB41" s="153">
        <f t="shared" si="129"/>
        <v>89</v>
      </c>
      <c r="AC41" s="153">
        <f t="shared" si="129"/>
        <v>90</v>
      </c>
      <c r="AD41" s="153">
        <f t="shared" si="129"/>
        <v>86</v>
      </c>
      <c r="AE41" s="153">
        <f t="shared" si="129"/>
        <v>87</v>
      </c>
      <c r="AF41" s="1113">
        <f t="shared" si="129"/>
        <v>352</v>
      </c>
      <c r="AG41" s="153">
        <f t="shared" si="129"/>
        <v>88</v>
      </c>
      <c r="AH41" s="153">
        <f t="shared" si="129"/>
        <v>89</v>
      </c>
      <c r="AI41" s="153">
        <f t="shared" si="129"/>
        <v>84</v>
      </c>
      <c r="AJ41" s="153">
        <f t="shared" si="129"/>
        <v>83</v>
      </c>
      <c r="AK41" s="1113">
        <f t="shared" si="129"/>
        <v>344</v>
      </c>
      <c r="AL41" s="153">
        <f t="shared" si="129"/>
        <v>84</v>
      </c>
      <c r="AM41" s="153">
        <f t="shared" si="129"/>
        <v>85</v>
      </c>
      <c r="AN41" s="153">
        <f>INDEX(MO_RIS_IE,0,COLUMN())</f>
        <v>87</v>
      </c>
      <c r="AO41" s="153">
        <f t="shared" si="129"/>
        <v>83</v>
      </c>
      <c r="AP41" s="1113">
        <f t="shared" si="129"/>
        <v>339</v>
      </c>
      <c r="AQ41" s="153">
        <f t="shared" si="129"/>
        <v>82</v>
      </c>
      <c r="AR41" s="153">
        <f t="shared" si="130" ref="AR41:AW41">INDEX(MO_RIS_IE,0,COLUMN())</f>
        <v>83</v>
      </c>
      <c r="AS41" s="153">
        <f t="shared" si="130"/>
        <v>87</v>
      </c>
      <c r="AT41" s="153">
        <f t="shared" si="130"/>
        <v>88</v>
      </c>
      <c r="AU41" s="1113">
        <f t="shared" si="130"/>
        <v>340</v>
      </c>
      <c r="AV41" s="153">
        <f t="shared" si="130"/>
        <v>87</v>
      </c>
      <c r="AW41" s="153">
        <f t="shared" si="130"/>
        <v>88</v>
      </c>
      <c r="AX41" s="153">
        <f t="shared" si="131" ref="AX41:BB41">INDEX(MO_RIS_IE,0,COLUMN())</f>
        <v>88</v>
      </c>
      <c r="AY41" s="153">
        <f t="shared" si="131"/>
        <v>88</v>
      </c>
      <c r="AZ41" s="1113">
        <f t="shared" si="131"/>
        <v>351</v>
      </c>
      <c r="BA41" s="153">
        <f t="shared" si="131"/>
        <v>88</v>
      </c>
      <c r="BB41" s="153">
        <f t="shared" si="131"/>
        <v>92</v>
      </c>
      <c r="BC41" s="153">
        <f t="shared" si="132" ref="BC41:BJ41">INDEX(MO_RIS_IE,0,COLUMN())</f>
        <v>98</v>
      </c>
      <c r="BD41" s="153">
        <f t="shared" si="132"/>
        <v>98</v>
      </c>
      <c r="BE41" s="1113">
        <f t="shared" si="132"/>
        <v>376</v>
      </c>
      <c r="BF41" s="153">
        <f t="shared" si="132"/>
        <v>98</v>
      </c>
      <c r="BG41" s="153">
        <f t="shared" si="132"/>
        <v>98</v>
      </c>
      <c r="BH41" s="789">
        <f>INDEX(MO_RIS_IE,0,COLUMN())</f>
        <v>98</v>
      </c>
      <c r="BI41" s="153">
        <f t="shared" si="132"/>
        <v>96.92275409836067</v>
      </c>
      <c r="BJ41" s="1113">
        <f t="shared" si="132"/>
        <v>390.92275409836066</v>
      </c>
      <c r="BK41" s="153">
        <f t="shared" si="133" ref="BK41:BR41">INDEX(MO_RIS_IE,0,COLUMN())</f>
        <v>95.075506849315062</v>
      </c>
      <c r="BL41" s="153">
        <f t="shared" si="133"/>
        <v>96.131901369863016</v>
      </c>
      <c r="BM41" s="153">
        <f t="shared" si="133"/>
        <v>97.18829589041097</v>
      </c>
      <c r="BN41" s="153">
        <f t="shared" si="133"/>
        <v>97.18829589041097</v>
      </c>
      <c r="BO41" s="1113">
        <f t="shared" si="133"/>
        <v>385.58400000000006</v>
      </c>
      <c r="BP41" s="1113">
        <f t="shared" si="133"/>
        <v>385.584</v>
      </c>
      <c r="BQ41" s="1113">
        <f t="shared" si="133"/>
        <v>385.584</v>
      </c>
      <c r="BR41" s="1113">
        <f t="shared" si="133"/>
        <v>385.584</v>
      </c>
      <c r="BS41" s="839"/>
    </row>
    <row r="42" spans="1:71" s="54" customFormat="1" ht="15">
      <c r="A42" s="228" t="str">
        <f>INDEX(MO_RIS_EBT,0,COLUMN())</f>
        <v>EBT</v>
      </c>
      <c r="B42" s="229"/>
      <c r="C42" s="1110">
        <f t="shared" si="134" ref="C42:AQ42">INDEX(SP_GF_Rev,0,COLUMN())-INDEX(SP_GF_Loss,0,COLUMN())-INDEX(SP_GF_PAE,0,COLUMN())-INDEX(SP_GF_OOE,0,COLUMN())-INDEX(SP_GF_IE,0,COLUMN())</f>
        <v>4711</v>
      </c>
      <c r="D42" s="1110">
        <f t="shared" si="134"/>
        <v>4306</v>
      </c>
      <c r="E42" s="1110">
        <f t="shared" si="134"/>
        <v>1352</v>
      </c>
      <c r="F42" s="1110">
        <f t="shared" si="134"/>
        <v>3166</v>
      </c>
      <c r="G42" s="1110">
        <f t="shared" si="134"/>
        <v>4945</v>
      </c>
      <c r="H42" s="161">
        <f t="shared" si="134"/>
        <v>1470</v>
      </c>
      <c r="I42" s="161">
        <f t="shared" si="134"/>
        <v>901</v>
      </c>
      <c r="J42" s="161">
        <f t="shared" si="134"/>
        <v>1258</v>
      </c>
      <c r="K42" s="161">
        <f t="shared" si="134"/>
        <v>1460</v>
      </c>
      <c r="L42" s="1110">
        <f t="shared" si="134"/>
        <v>5089</v>
      </c>
      <c r="M42" s="161">
        <f t="shared" si="134"/>
        <v>1148</v>
      </c>
      <c r="N42" s="161">
        <f t="shared" si="134"/>
        <v>1076</v>
      </c>
      <c r="O42" s="161">
        <f t="shared" si="134"/>
        <v>1307</v>
      </c>
      <c r="P42" s="161">
        <f t="shared" si="134"/>
        <v>1209</v>
      </c>
      <c r="Q42" s="1110">
        <f t="shared" si="134"/>
        <v>4740</v>
      </c>
      <c r="R42" s="161">
        <f t="shared" si="134"/>
        <v>917</v>
      </c>
      <c r="S42" s="161">
        <f t="shared" si="134"/>
        <v>887</v>
      </c>
      <c r="T42" s="161">
        <f t="shared" si="134"/>
        <v>947</v>
      </c>
      <c r="U42" s="161">
        <f t="shared" si="134"/>
        <v>1302</v>
      </c>
      <c r="V42" s="1110">
        <f t="shared" si="134"/>
        <v>4053</v>
      </c>
      <c r="W42" s="161">
        <f t="shared" si="134"/>
        <v>760</v>
      </c>
      <c r="X42" s="161">
        <f t="shared" si="134"/>
        <v>790</v>
      </c>
      <c r="Y42" s="161">
        <f t="shared" si="134"/>
        <v>320</v>
      </c>
      <c r="Z42" s="161">
        <f t="shared" si="134"/>
        <v>860</v>
      </c>
      <c r="AA42" s="1110">
        <f t="shared" si="134"/>
        <v>2730</v>
      </c>
      <c r="AB42" s="161">
        <f t="shared" si="134"/>
        <v>778</v>
      </c>
      <c r="AC42" s="161">
        <f t="shared" si="134"/>
        <v>631</v>
      </c>
      <c r="AD42" s="161">
        <f t="shared" si="134"/>
        <v>806</v>
      </c>
      <c r="AE42" s="161">
        <f t="shared" si="134"/>
        <v>746</v>
      </c>
      <c r="AF42" s="1110">
        <f t="shared" si="134"/>
        <v>2961</v>
      </c>
      <c r="AG42" s="161">
        <f t="shared" si="134"/>
        <v>967</v>
      </c>
      <c r="AH42" s="161">
        <f t="shared" si="134"/>
        <v>665</v>
      </c>
      <c r="AI42" s="161">
        <f t="shared" si="134"/>
        <v>432</v>
      </c>
      <c r="AJ42" s="161">
        <f t="shared" si="134"/>
        <v>1074</v>
      </c>
      <c r="AK42" s="1110">
        <f t="shared" si="134"/>
        <v>3138</v>
      </c>
      <c r="AL42" s="161">
        <f t="shared" si="134"/>
        <v>720</v>
      </c>
      <c r="AM42" s="161">
        <f t="shared" si="134"/>
        <v>-85</v>
      </c>
      <c r="AN42" s="161">
        <f>INDEX(SP_GF_Rev,0,COLUMN())-INDEX(SP_GF_Loss,0,COLUMN())-INDEX(SP_GF_PAE,0,COLUMN())-INDEX(SP_GF_OOE,0,COLUMN())-INDEX(SP_GF_IE,0,COLUMN())</f>
        <v>986</v>
      </c>
      <c r="AO42" s="161">
        <f t="shared" si="134"/>
        <v>1616</v>
      </c>
      <c r="AP42" s="1110">
        <f t="shared" si="134"/>
        <v>3237</v>
      </c>
      <c r="AQ42" s="161">
        <f t="shared" si="134"/>
        <v>891</v>
      </c>
      <c r="AR42" s="161">
        <f t="shared" si="135" ref="AR42:AW42">INDEX(SP_GF_Rev,0,COLUMN())-INDEX(SP_GF_Loss,0,COLUMN())-INDEX(SP_GF_PAE,0,COLUMN())-INDEX(SP_GF_OOE,0,COLUMN())-INDEX(SP_GF_IE,0,COLUMN())</f>
        <v>1131</v>
      </c>
      <c r="AS42" s="161">
        <f t="shared" si="135"/>
        <v>786</v>
      </c>
      <c r="AT42" s="161">
        <f t="shared" si="135"/>
        <v>1650</v>
      </c>
      <c r="AU42" s="1110">
        <f t="shared" si="135"/>
        <v>4458</v>
      </c>
      <c r="AV42" s="161">
        <f t="shared" si="135"/>
        <v>1182</v>
      </c>
      <c r="AW42" s="161">
        <f t="shared" si="135"/>
        <v>657</v>
      </c>
      <c r="AX42" s="161">
        <f t="shared" si="136" ref="AX42:BB42">INDEX(SP_GF_Rev,0,COLUMN())-INDEX(SP_GF_Loss,0,COLUMN())-INDEX(SP_GF_PAE,0,COLUMN())-INDEX(SP_GF_OOE,0,COLUMN())-INDEX(SP_GF_IE,0,COLUMN())</f>
        <v>528</v>
      </c>
      <c r="AY42" s="161">
        <f t="shared" si="136"/>
        <v>987</v>
      </c>
      <c r="AZ42" s="1110">
        <f t="shared" si="136"/>
        <v>3354</v>
      </c>
      <c r="BA42" s="161">
        <f t="shared" si="136"/>
        <v>928</v>
      </c>
      <c r="BB42" s="161">
        <f t="shared" si="136"/>
        <v>-48</v>
      </c>
      <c r="BC42" s="161">
        <f t="shared" si="137" ref="BC42:BJ42">INDEX(SP_GF_Rev,0,COLUMN())-INDEX(SP_GF_Loss,0,COLUMN())-INDEX(SP_GF_PAE,0,COLUMN())-INDEX(SP_GF_OOE,0,COLUMN())-INDEX(SP_GF_IE,0,COLUMN())</f>
        <v>472</v>
      </c>
      <c r="BD42" s="161">
        <f t="shared" si="137"/>
        <v>2019</v>
      </c>
      <c r="BE42" s="1110">
        <f t="shared" si="137"/>
        <v>3371</v>
      </c>
      <c r="BF42" s="161">
        <f t="shared" si="137"/>
        <v>1370</v>
      </c>
      <c r="BG42" s="161">
        <f t="shared" si="137"/>
        <v>656</v>
      </c>
      <c r="BH42" s="786">
        <f>INDEX(SP_GF_Rev,0,COLUMN())-INDEX(SP_GF_Loss,0,COLUMN())-INDEX(SP_GF_PAE,0,COLUMN())-INDEX(SP_GF_OOE,0,COLUMN())-INDEX(SP_GF_IE,0,COLUMN())</f>
        <v>1560</v>
      </c>
      <c r="BI42" s="161">
        <f t="shared" si="137"/>
        <v>1628.486625876481</v>
      </c>
      <c r="BJ42" s="1110">
        <f t="shared" si="137"/>
        <v>5214.4866258764778</v>
      </c>
      <c r="BK42" s="161">
        <f t="shared" si="138" ref="BK42:BR42">INDEX(SP_GF_Rev,0,COLUMN())-INDEX(SP_GF_Loss,0,COLUMN())-INDEX(SP_GF_PAE,0,COLUMN())-INDEX(SP_GF_OOE,0,COLUMN())-INDEX(SP_GF_IE,0,COLUMN())</f>
        <v>1462.6546935083281</v>
      </c>
      <c r="BL42" s="161">
        <f t="shared" si="138"/>
        <v>993.36741030475287</v>
      </c>
      <c r="BM42" s="161">
        <f t="shared" si="138"/>
        <v>1283.556532197111</v>
      </c>
      <c r="BN42" s="161">
        <f t="shared" si="138"/>
        <v>1690.9286396078257</v>
      </c>
      <c r="BO42" s="1110">
        <f t="shared" si="138"/>
        <v>5430.5072756180107</v>
      </c>
      <c r="BP42" s="1110">
        <f t="shared" si="138"/>
        <v>5902.0731579052654</v>
      </c>
      <c r="BQ42" s="1110">
        <f t="shared" si="138"/>
        <v>6839.6403971661721</v>
      </c>
      <c r="BR42" s="1110">
        <f t="shared" si="138"/>
        <v>6237.3888186928116</v>
      </c>
      <c r="BS42" s="840"/>
    </row>
    <row r="43" spans="1:71" s="53" customFormat="1" ht="15">
      <c r="A43" s="226" t="s">
        <v>326</v>
      </c>
      <c r="B43" s="227"/>
      <c r="C43" s="1112">
        <f t="shared" si="139" ref="C43:AQ43">INDEX(MO_RIS_Tax_Current,0,COLUMN())+INDEX(MO_RIS_Tax_Deferred,0,COLUMN())</f>
        <v>1089</v>
      </c>
      <c r="D43" s="1112">
        <f t="shared" si="139"/>
        <v>1090</v>
      </c>
      <c r="E43" s="1112">
        <f t="shared" si="139"/>
        <v>-74</v>
      </c>
      <c r="F43" s="1112">
        <f t="shared" si="139"/>
        <v>693</v>
      </c>
      <c r="G43" s="1112">
        <f t="shared" si="139"/>
        <v>1272</v>
      </c>
      <c r="H43" s="151">
        <f t="shared" si="139"/>
        <v>418</v>
      </c>
      <c r="I43" s="151">
        <f t="shared" si="139"/>
        <v>218</v>
      </c>
      <c r="J43" s="151">
        <f t="shared" si="139"/>
        <v>339</v>
      </c>
      <c r="K43" s="151">
        <f t="shared" si="139"/>
        <v>422</v>
      </c>
      <c r="L43" s="1112">
        <f t="shared" si="139"/>
        <v>1397</v>
      </c>
      <c r="M43" s="151">
        <f t="shared" si="139"/>
        <v>315</v>
      </c>
      <c r="N43" s="151">
        <f t="shared" si="139"/>
        <v>264</v>
      </c>
      <c r="O43" s="151">
        <f t="shared" si="139"/>
        <v>379</v>
      </c>
      <c r="P43" s="151">
        <f t="shared" si="139"/>
        <v>343</v>
      </c>
      <c r="Q43" s="1112">
        <f t="shared" si="139"/>
        <v>1301</v>
      </c>
      <c r="R43" s="151">
        <f t="shared" si="139"/>
        <v>226</v>
      </c>
      <c r="S43" s="151">
        <f t="shared" si="139"/>
        <v>223</v>
      </c>
      <c r="T43" s="151">
        <f t="shared" si="139"/>
        <v>231</v>
      </c>
      <c r="U43" s="151">
        <f t="shared" si="139"/>
        <v>359</v>
      </c>
      <c r="V43" s="1112">
        <f t="shared" si="139"/>
        <v>1039</v>
      </c>
      <c r="W43" s="151">
        <f t="shared" si="139"/>
        <v>143</v>
      </c>
      <c r="X43" s="151">
        <f t="shared" si="139"/>
        <v>195</v>
      </c>
      <c r="Y43" s="151">
        <f t="shared" si="139"/>
        <v>27</v>
      </c>
      <c r="Z43" s="151">
        <f t="shared" si="139"/>
        <v>309</v>
      </c>
      <c r="AA43" s="1112">
        <f t="shared" si="139"/>
        <v>674</v>
      </c>
      <c r="AB43" s="151">
        <f t="shared" si="139"/>
        <v>109</v>
      </c>
      <c r="AC43" s="151">
        <f t="shared" si="139"/>
        <v>107</v>
      </c>
      <c r="AD43" s="151">
        <f t="shared" si="139"/>
        <v>97</v>
      </c>
      <c r="AE43" s="151">
        <f t="shared" si="139"/>
        <v>125</v>
      </c>
      <c r="AF43" s="1112">
        <f t="shared" si="139"/>
        <v>438</v>
      </c>
      <c r="AG43" s="151">
        <f t="shared" si="139"/>
        <v>171</v>
      </c>
      <c r="AH43" s="151">
        <f t="shared" si="139"/>
        <v>108</v>
      </c>
      <c r="AI43" s="151">
        <f t="shared" si="139"/>
        <v>36</v>
      </c>
      <c r="AJ43" s="151">
        <f t="shared" si="139"/>
        <v>201</v>
      </c>
      <c r="AK43" s="1112">
        <f t="shared" si="139"/>
        <v>516</v>
      </c>
      <c r="AL43" s="151">
        <f t="shared" si="139"/>
        <v>120</v>
      </c>
      <c r="AM43" s="151">
        <f t="shared" si="139"/>
        <v>-45</v>
      </c>
      <c r="AN43" s="151">
        <f>INDEX(MO_RIS_Tax_Current,0,COLUMN())+INDEX(MO_RIS_Tax_Deferred,0,COLUMN())</f>
        <v>159</v>
      </c>
      <c r="AO43" s="151">
        <f t="shared" si="139"/>
        <v>306</v>
      </c>
      <c r="AP43" s="1112">
        <f t="shared" si="139"/>
        <v>540</v>
      </c>
      <c r="AQ43" s="151">
        <f t="shared" si="139"/>
        <v>158</v>
      </c>
      <c r="AR43" s="151">
        <f t="shared" si="140" ref="AR43:AW43">INDEX(MO_RIS_Tax_Current,0,COLUMN())+INDEX(MO_RIS_Tax_Deferred,0,COLUMN())</f>
        <v>197</v>
      </c>
      <c r="AS43" s="151">
        <f t="shared" si="140"/>
        <v>124</v>
      </c>
      <c r="AT43" s="151">
        <f t="shared" si="140"/>
        <v>317</v>
      </c>
      <c r="AU43" s="1112">
        <f t="shared" si="140"/>
        <v>796</v>
      </c>
      <c r="AV43" s="151">
        <f t="shared" si="140"/>
        <v>164</v>
      </c>
      <c r="AW43" s="151">
        <f t="shared" si="140"/>
        <v>106</v>
      </c>
      <c r="AX43" s="151">
        <f t="shared" si="141" ref="AX43:BB43">INDEX(MO_RIS_Tax_Current,0,COLUMN())+INDEX(MO_RIS_Tax_Deferred,0,COLUMN())</f>
        <v>74</v>
      </c>
      <c r="AY43" s="151">
        <f t="shared" si="141"/>
        <v>168</v>
      </c>
      <c r="AZ43" s="1112">
        <f t="shared" si="141"/>
        <v>512</v>
      </c>
      <c r="BA43" s="151">
        <f t="shared" si="141"/>
        <v>-47</v>
      </c>
      <c r="BB43" s="151">
        <f t="shared" si="141"/>
        <v>-34</v>
      </c>
      <c r="BC43" s="151">
        <f t="shared" si="142" ref="BC43:BJ43">INDEX(MO_RIS_Tax_Current,0,COLUMN())+INDEX(MO_RIS_Tax_Deferred,0,COLUMN())</f>
        <v>68</v>
      </c>
      <c r="BD43" s="151">
        <f t="shared" si="142"/>
        <v>393</v>
      </c>
      <c r="BE43" s="1112">
        <f t="shared" si="142"/>
        <v>380</v>
      </c>
      <c r="BF43" s="151">
        <f t="shared" si="142"/>
        <v>247</v>
      </c>
      <c r="BG43" s="151">
        <f t="shared" si="142"/>
        <v>122</v>
      </c>
      <c r="BH43" s="788">
        <f>INDEX(MO_RIS_Tax_Current,0,COLUMN())+INDEX(MO_RIS_Tax_Deferred,0,COLUMN())</f>
        <v>300</v>
      </c>
      <c r="BI43" s="151">
        <f t="shared" si="142"/>
        <v>179.13352884641293</v>
      </c>
      <c r="BJ43" s="1112">
        <f t="shared" si="142"/>
        <v>848.1335288464129</v>
      </c>
      <c r="BK43" s="151">
        <f t="shared" si="143" ref="BK43:BR43">INDEX(MO_RIS_Tax_Current,0,COLUMN())+INDEX(MO_RIS_Tax_Deferred,0,COLUMN())</f>
        <v>160.89201628591607</v>
      </c>
      <c r="BL43" s="151">
        <f t="shared" si="143"/>
        <v>109.27041513352276</v>
      </c>
      <c r="BM43" s="151">
        <f t="shared" si="143"/>
        <v>205.36904515153759</v>
      </c>
      <c r="BN43" s="151">
        <f t="shared" si="143"/>
        <v>169.09286396078241</v>
      </c>
      <c r="BO43" s="1112">
        <f t="shared" si="143"/>
        <v>644.62434053175878</v>
      </c>
      <c r="BP43" s="1112">
        <f t="shared" si="143"/>
        <v>649.22804736957835</v>
      </c>
      <c r="BQ43" s="1112">
        <f t="shared" si="143"/>
        <v>1196.9370695040805</v>
      </c>
      <c r="BR43" s="1112">
        <f t="shared" si="143"/>
        <v>1091.5430432712444</v>
      </c>
      <c r="BS43" s="839"/>
    </row>
    <row r="44" spans="1:71" s="53" customFormat="1" ht="15">
      <c r="A44" s="226" t="str">
        <f>INDEX(MO_RIS_EI,0,COLUMN())</f>
        <v>Earnings from Equity Investments</v>
      </c>
      <c r="B44" s="227"/>
      <c r="C44" s="1112">
        <f t="shared" si="144" ref="C44:AQ44">INDEX(MO_RIS_EI,0,COLUMN())</f>
        <v>0</v>
      </c>
      <c r="D44" s="1112">
        <f t="shared" si="144"/>
        <v>0</v>
      </c>
      <c r="E44" s="1112">
        <f t="shared" si="144"/>
        <v>0</v>
      </c>
      <c r="F44" s="1112">
        <f t="shared" si="144"/>
        <v>0</v>
      </c>
      <c r="G44" s="1112">
        <f t="shared" si="144"/>
        <v>0</v>
      </c>
      <c r="H44" s="151">
        <f t="shared" si="144"/>
        <v>0</v>
      </c>
      <c r="I44" s="151">
        <f t="shared" si="144"/>
        <v>0</v>
      </c>
      <c r="J44" s="151">
        <f t="shared" si="144"/>
        <v>0</v>
      </c>
      <c r="K44" s="151">
        <f t="shared" si="144"/>
        <v>0</v>
      </c>
      <c r="L44" s="1112">
        <f t="shared" si="144"/>
        <v>0</v>
      </c>
      <c r="M44" s="151">
        <f t="shared" si="144"/>
        <v>0</v>
      </c>
      <c r="N44" s="151">
        <f t="shared" si="144"/>
        <v>0</v>
      </c>
      <c r="O44" s="151">
        <f t="shared" si="144"/>
        <v>0</v>
      </c>
      <c r="P44" s="151">
        <f t="shared" si="144"/>
        <v>0</v>
      </c>
      <c r="Q44" s="1112">
        <f t="shared" si="144"/>
        <v>0</v>
      </c>
      <c r="R44" s="151">
        <f t="shared" si="144"/>
        <v>0</v>
      </c>
      <c r="S44" s="151">
        <f t="shared" si="144"/>
        <v>0</v>
      </c>
      <c r="T44" s="151">
        <f t="shared" si="144"/>
        <v>0</v>
      </c>
      <c r="U44" s="151">
        <f t="shared" si="144"/>
        <v>0</v>
      </c>
      <c r="V44" s="1112">
        <f t="shared" si="144"/>
        <v>0</v>
      </c>
      <c r="W44" s="151">
        <f t="shared" si="144"/>
        <v>0</v>
      </c>
      <c r="X44" s="151">
        <f t="shared" si="144"/>
        <v>0</v>
      </c>
      <c r="Y44" s="151">
        <f t="shared" si="144"/>
        <v>0</v>
      </c>
      <c r="Z44" s="151">
        <f t="shared" si="144"/>
        <v>0</v>
      </c>
      <c r="AA44" s="1112">
        <f t="shared" si="144"/>
        <v>0</v>
      </c>
      <c r="AB44" s="151">
        <f t="shared" si="144"/>
        <v>0</v>
      </c>
      <c r="AC44" s="151">
        <f t="shared" si="144"/>
        <v>0</v>
      </c>
      <c r="AD44" s="151">
        <f t="shared" si="144"/>
        <v>0</v>
      </c>
      <c r="AE44" s="151">
        <f t="shared" si="144"/>
        <v>0</v>
      </c>
      <c r="AF44" s="1112">
        <f t="shared" si="144"/>
        <v>0</v>
      </c>
      <c r="AG44" s="151">
        <f t="shared" si="144"/>
        <v>0</v>
      </c>
      <c r="AH44" s="151">
        <f t="shared" si="144"/>
        <v>0</v>
      </c>
      <c r="AI44" s="151">
        <f t="shared" si="144"/>
        <v>0</v>
      </c>
      <c r="AJ44" s="151">
        <f t="shared" si="144"/>
        <v>0</v>
      </c>
      <c r="AK44" s="1112">
        <f t="shared" si="144"/>
        <v>0</v>
      </c>
      <c r="AL44" s="151">
        <f t="shared" si="144"/>
        <v>0</v>
      </c>
      <c r="AM44" s="151">
        <f t="shared" si="144"/>
        <v>0</v>
      </c>
      <c r="AN44" s="151">
        <f>INDEX(MO_RIS_EI,0,COLUMN())</f>
        <v>0</v>
      </c>
      <c r="AO44" s="151">
        <f t="shared" si="144"/>
        <v>0</v>
      </c>
      <c r="AP44" s="1112">
        <f t="shared" si="144"/>
        <v>0</v>
      </c>
      <c r="AQ44" s="151">
        <f t="shared" si="144"/>
        <v>0</v>
      </c>
      <c r="AR44" s="151">
        <f t="shared" si="145" ref="AR44:AW44">INDEX(MO_RIS_EI,0,COLUMN())</f>
        <v>0</v>
      </c>
      <c r="AS44" s="151">
        <f t="shared" si="145"/>
        <v>0</v>
      </c>
      <c r="AT44" s="151">
        <f t="shared" si="145"/>
        <v>0</v>
      </c>
      <c r="AU44" s="1112">
        <f t="shared" si="145"/>
        <v>0</v>
      </c>
      <c r="AV44" s="151">
        <f t="shared" si="145"/>
        <v>0</v>
      </c>
      <c r="AW44" s="151">
        <f t="shared" si="145"/>
        <v>0</v>
      </c>
      <c r="AX44" s="151">
        <f t="shared" si="146" ref="AX44:BB44">INDEX(MO_RIS_EI,0,COLUMN())</f>
        <v>0</v>
      </c>
      <c r="AY44" s="151">
        <f t="shared" si="146"/>
        <v>0</v>
      </c>
      <c r="AZ44" s="1112">
        <f t="shared" si="146"/>
        <v>0</v>
      </c>
      <c r="BA44" s="151">
        <f t="shared" si="146"/>
        <v>0</v>
      </c>
      <c r="BB44" s="151">
        <f t="shared" si="146"/>
        <v>0</v>
      </c>
      <c r="BC44" s="151">
        <f t="shared" si="147" ref="BC44:BJ44">INDEX(MO_RIS_EI,0,COLUMN())</f>
        <v>0</v>
      </c>
      <c r="BD44" s="151">
        <f t="shared" si="147"/>
        <v>0</v>
      </c>
      <c r="BE44" s="1112">
        <f t="shared" si="147"/>
        <v>0</v>
      </c>
      <c r="BF44" s="151">
        <f t="shared" si="147"/>
        <v>0</v>
      </c>
      <c r="BG44" s="151">
        <f t="shared" si="147"/>
        <v>0</v>
      </c>
      <c r="BH44" s="788">
        <f>INDEX(MO_RIS_EI,0,COLUMN())</f>
        <v>0</v>
      </c>
      <c r="BI44" s="151">
        <f t="shared" si="147"/>
        <v>0</v>
      </c>
      <c r="BJ44" s="1112">
        <f t="shared" si="147"/>
        <v>0</v>
      </c>
      <c r="BK44" s="151">
        <f t="shared" si="148" ref="BK44:BR44">INDEX(MO_RIS_EI,0,COLUMN())</f>
        <v>0</v>
      </c>
      <c r="BL44" s="151">
        <f t="shared" si="148"/>
        <v>0</v>
      </c>
      <c r="BM44" s="151">
        <f t="shared" si="148"/>
        <v>0</v>
      </c>
      <c r="BN44" s="151">
        <f t="shared" si="148"/>
        <v>0</v>
      </c>
      <c r="BO44" s="1112">
        <f t="shared" si="148"/>
        <v>0</v>
      </c>
      <c r="BP44" s="1112">
        <f t="shared" si="148"/>
        <v>0</v>
      </c>
      <c r="BQ44" s="1112">
        <f t="shared" si="148"/>
        <v>0</v>
      </c>
      <c r="BR44" s="1112">
        <f t="shared" si="148"/>
        <v>0</v>
      </c>
      <c r="BS44" s="839"/>
    </row>
    <row r="45" spans="1:71" s="53" customFormat="1" ht="15">
      <c r="A45" s="226" t="str">
        <f>INDEX(MO_RIS_DisCont,0,COLUMN())</f>
        <v>Discontinued Operations</v>
      </c>
      <c r="B45" s="227"/>
      <c r="C45" s="1112">
        <f t="shared" si="149" ref="C45:AQ45">INDEX(MO_RIS_DisCont,0,COLUMN())</f>
        <v>0</v>
      </c>
      <c r="D45" s="1112">
        <f t="shared" si="149"/>
        <v>0</v>
      </c>
      <c r="E45" s="1112">
        <f t="shared" si="149"/>
        <v>0</v>
      </c>
      <c r="F45" s="1112">
        <f t="shared" si="149"/>
        <v>0</v>
      </c>
      <c r="G45" s="1112">
        <f t="shared" si="149"/>
        <v>0</v>
      </c>
      <c r="H45" s="151">
        <f t="shared" si="149"/>
        <v>0</v>
      </c>
      <c r="I45" s="151">
        <f t="shared" si="149"/>
        <v>0</v>
      </c>
      <c r="J45" s="151">
        <f t="shared" si="149"/>
        <v>0</v>
      </c>
      <c r="K45" s="151">
        <f t="shared" si="149"/>
        <v>0</v>
      </c>
      <c r="L45" s="1112">
        <f t="shared" si="149"/>
        <v>0</v>
      </c>
      <c r="M45" s="151">
        <f t="shared" si="149"/>
        <v>0</v>
      </c>
      <c r="N45" s="151">
        <f t="shared" si="149"/>
        <v>0</v>
      </c>
      <c r="O45" s="151">
        <f t="shared" si="149"/>
        <v>0</v>
      </c>
      <c r="P45" s="151">
        <f t="shared" si="149"/>
        <v>0</v>
      </c>
      <c r="Q45" s="1112">
        <f t="shared" si="149"/>
        <v>0</v>
      </c>
      <c r="R45" s="151">
        <f t="shared" si="149"/>
        <v>0</v>
      </c>
      <c r="S45" s="151">
        <f t="shared" si="149"/>
        <v>0</v>
      </c>
      <c r="T45" s="151">
        <f t="shared" si="149"/>
        <v>0</v>
      </c>
      <c r="U45" s="151">
        <f t="shared" si="149"/>
        <v>0</v>
      </c>
      <c r="V45" s="1112">
        <f t="shared" si="149"/>
        <v>0</v>
      </c>
      <c r="W45" s="151">
        <f t="shared" si="149"/>
        <v>0</v>
      </c>
      <c r="X45" s="151">
        <f t="shared" si="149"/>
        <v>0</v>
      </c>
      <c r="Y45" s="151">
        <f t="shared" si="149"/>
        <v>0</v>
      </c>
      <c r="Z45" s="151">
        <f t="shared" si="149"/>
        <v>0</v>
      </c>
      <c r="AA45" s="1112">
        <f t="shared" si="149"/>
        <v>0</v>
      </c>
      <c r="AB45" s="151">
        <f t="shared" si="149"/>
        <v>0</v>
      </c>
      <c r="AC45" s="151">
        <f t="shared" si="149"/>
        <v>0</v>
      </c>
      <c r="AD45" s="151">
        <f t="shared" si="149"/>
        <v>0</v>
      </c>
      <c r="AE45" s="151">
        <f t="shared" si="149"/>
        <v>0</v>
      </c>
      <c r="AF45" s="1112">
        <f t="shared" si="149"/>
        <v>0</v>
      </c>
      <c r="AG45" s="151">
        <f t="shared" si="149"/>
        <v>0</v>
      </c>
      <c r="AH45" s="151">
        <f t="shared" si="149"/>
        <v>0</v>
      </c>
      <c r="AI45" s="151">
        <f t="shared" si="149"/>
        <v>0</v>
      </c>
      <c r="AJ45" s="151">
        <f t="shared" si="149"/>
        <v>0</v>
      </c>
      <c r="AK45" s="1112">
        <f t="shared" si="149"/>
        <v>0</v>
      </c>
      <c r="AL45" s="151">
        <f t="shared" si="149"/>
        <v>0</v>
      </c>
      <c r="AM45" s="151">
        <f t="shared" si="149"/>
        <v>0</v>
      </c>
      <c r="AN45" s="151">
        <f>INDEX(MO_RIS_DisCont,0,COLUMN())</f>
        <v>0</v>
      </c>
      <c r="AO45" s="151">
        <f t="shared" si="149"/>
        <v>0</v>
      </c>
      <c r="AP45" s="1112">
        <f t="shared" si="149"/>
        <v>0</v>
      </c>
      <c r="AQ45" s="151">
        <f t="shared" si="149"/>
        <v>0</v>
      </c>
      <c r="AR45" s="151">
        <f t="shared" si="150" ref="AR45:AW45">INDEX(MO_RIS_DisCont,0,COLUMN())</f>
        <v>0</v>
      </c>
      <c r="AS45" s="151">
        <f t="shared" si="150"/>
        <v>0</v>
      </c>
      <c r="AT45" s="151">
        <f t="shared" si="150"/>
        <v>0</v>
      </c>
      <c r="AU45" s="1112">
        <f t="shared" si="150"/>
        <v>0</v>
      </c>
      <c r="AV45" s="151">
        <f t="shared" si="150"/>
        <v>0</v>
      </c>
      <c r="AW45" s="151">
        <f t="shared" si="150"/>
        <v>0</v>
      </c>
      <c r="AX45" s="151">
        <f t="shared" si="151" ref="AX45:BB45">INDEX(MO_RIS_DisCont,0,COLUMN())</f>
        <v>0</v>
      </c>
      <c r="AY45" s="151">
        <f t="shared" si="151"/>
        <v>0</v>
      </c>
      <c r="AZ45" s="1112">
        <f t="shared" si="151"/>
        <v>0</v>
      </c>
      <c r="BA45" s="151">
        <f t="shared" si="151"/>
        <v>0</v>
      </c>
      <c r="BB45" s="151">
        <f t="shared" si="151"/>
        <v>0</v>
      </c>
      <c r="BC45" s="151">
        <f t="shared" si="152" ref="BC45:BJ45">INDEX(MO_RIS_DisCont,0,COLUMN())</f>
        <v>0</v>
      </c>
      <c r="BD45" s="151">
        <f t="shared" si="152"/>
        <v>0</v>
      </c>
      <c r="BE45" s="1112">
        <f t="shared" si="152"/>
        <v>0</v>
      </c>
      <c r="BF45" s="151">
        <f t="shared" si="152"/>
        <v>0</v>
      </c>
      <c r="BG45" s="151">
        <f t="shared" si="152"/>
        <v>0</v>
      </c>
      <c r="BH45" s="788">
        <f>INDEX(MO_RIS_DisCont,0,COLUMN())</f>
        <v>0</v>
      </c>
      <c r="BI45" s="151">
        <f t="shared" si="152"/>
        <v>0</v>
      </c>
      <c r="BJ45" s="1112">
        <f t="shared" si="152"/>
        <v>0</v>
      </c>
      <c r="BK45" s="151">
        <f t="shared" si="153" ref="BK45:BR45">INDEX(MO_RIS_DisCont,0,COLUMN())</f>
        <v>0</v>
      </c>
      <c r="BL45" s="151">
        <f t="shared" si="153"/>
        <v>0</v>
      </c>
      <c r="BM45" s="151">
        <f t="shared" si="153"/>
        <v>0</v>
      </c>
      <c r="BN45" s="151">
        <f t="shared" si="153"/>
        <v>0</v>
      </c>
      <c r="BO45" s="1112">
        <f t="shared" si="153"/>
        <v>0</v>
      </c>
      <c r="BP45" s="1112">
        <f t="shared" si="153"/>
        <v>0</v>
      </c>
      <c r="BQ45" s="1112">
        <f t="shared" si="153"/>
        <v>0</v>
      </c>
      <c r="BR45" s="1112">
        <f t="shared" si="153"/>
        <v>0</v>
      </c>
      <c r="BS45" s="839"/>
    </row>
    <row r="46" spans="1:71" s="53" customFormat="1" ht="15">
      <c r="A46" s="226" t="str">
        <f>INDEX(MO_RIS_NCI,0,COLUMN())</f>
        <v>Net Income to NCI</v>
      </c>
      <c r="B46" s="227"/>
      <c r="C46" s="1112">
        <f t="shared" si="154" ref="C46:AQ46">INDEX(MO_RIS_NCI,0,COLUMN())</f>
        <v>0</v>
      </c>
      <c r="D46" s="1112">
        <f t="shared" si="154"/>
        <v>0</v>
      </c>
      <c r="E46" s="1112">
        <f t="shared" si="154"/>
        <v>0</v>
      </c>
      <c r="F46" s="1112">
        <f t="shared" si="154"/>
        <v>0</v>
      </c>
      <c r="G46" s="1112">
        <f t="shared" si="154"/>
        <v>0</v>
      </c>
      <c r="H46" s="151">
        <f t="shared" si="154"/>
        <v>0</v>
      </c>
      <c r="I46" s="151">
        <f t="shared" si="154"/>
        <v>0</v>
      </c>
      <c r="J46" s="151">
        <f t="shared" si="154"/>
        <v>0</v>
      </c>
      <c r="K46" s="151">
        <f t="shared" si="154"/>
        <v>0</v>
      </c>
      <c r="L46" s="1112">
        <f t="shared" si="154"/>
        <v>0</v>
      </c>
      <c r="M46" s="151">
        <f t="shared" si="154"/>
        <v>0</v>
      </c>
      <c r="N46" s="151">
        <f t="shared" si="154"/>
        <v>0</v>
      </c>
      <c r="O46" s="151">
        <f t="shared" si="154"/>
        <v>0</v>
      </c>
      <c r="P46" s="151">
        <f t="shared" si="154"/>
        <v>0</v>
      </c>
      <c r="Q46" s="1112">
        <f t="shared" si="154"/>
        <v>0</v>
      </c>
      <c r="R46" s="151">
        <f t="shared" si="154"/>
        <v>0</v>
      </c>
      <c r="S46" s="151">
        <f t="shared" si="154"/>
        <v>0</v>
      </c>
      <c r="T46" s="151">
        <f t="shared" si="154"/>
        <v>0</v>
      </c>
      <c r="U46" s="151">
        <f t="shared" si="154"/>
        <v>0</v>
      </c>
      <c r="V46" s="1112">
        <f t="shared" si="154"/>
        <v>0</v>
      </c>
      <c r="W46" s="151">
        <f t="shared" si="154"/>
        <v>0</v>
      </c>
      <c r="X46" s="151">
        <f t="shared" si="154"/>
        <v>0</v>
      </c>
      <c r="Y46" s="151">
        <f t="shared" si="154"/>
        <v>0</v>
      </c>
      <c r="Z46" s="151">
        <f t="shared" si="154"/>
        <v>0</v>
      </c>
      <c r="AA46" s="1112">
        <f t="shared" si="154"/>
        <v>0</v>
      </c>
      <c r="AB46" s="151">
        <f t="shared" si="154"/>
        <v>0</v>
      </c>
      <c r="AC46" s="151">
        <f t="shared" si="154"/>
        <v>0</v>
      </c>
      <c r="AD46" s="151">
        <f t="shared" si="154"/>
        <v>0</v>
      </c>
      <c r="AE46" s="151">
        <f t="shared" si="154"/>
        <v>0</v>
      </c>
      <c r="AF46" s="1112">
        <f t="shared" si="154"/>
        <v>0</v>
      </c>
      <c r="AG46" s="151">
        <f t="shared" si="154"/>
        <v>0</v>
      </c>
      <c r="AH46" s="151">
        <f t="shared" si="154"/>
        <v>0</v>
      </c>
      <c r="AI46" s="151">
        <f t="shared" si="154"/>
        <v>0</v>
      </c>
      <c r="AJ46" s="151">
        <f t="shared" si="154"/>
        <v>0</v>
      </c>
      <c r="AK46" s="1112">
        <f t="shared" si="154"/>
        <v>0</v>
      </c>
      <c r="AL46" s="151">
        <f t="shared" si="154"/>
        <v>0</v>
      </c>
      <c r="AM46" s="151">
        <f t="shared" si="154"/>
        <v>0</v>
      </c>
      <c r="AN46" s="151">
        <f>INDEX(MO_RIS_NCI,0,COLUMN())</f>
        <v>0</v>
      </c>
      <c r="AO46" s="151">
        <f t="shared" si="154"/>
        <v>0</v>
      </c>
      <c r="AP46" s="1112">
        <f t="shared" si="154"/>
        <v>0</v>
      </c>
      <c r="AQ46" s="151">
        <f t="shared" si="154"/>
        <v>0</v>
      </c>
      <c r="AR46" s="151">
        <f t="shared" si="155" ref="AR46:AW46">INDEX(MO_RIS_NCI,0,COLUMN())</f>
        <v>0</v>
      </c>
      <c r="AS46" s="151">
        <f t="shared" si="155"/>
        <v>0</v>
      </c>
      <c r="AT46" s="151">
        <f t="shared" si="155"/>
        <v>0</v>
      </c>
      <c r="AU46" s="1112">
        <f t="shared" si="155"/>
        <v>0</v>
      </c>
      <c r="AV46" s="151">
        <f t="shared" si="155"/>
        <v>0</v>
      </c>
      <c r="AW46" s="151">
        <f t="shared" si="155"/>
        <v>0</v>
      </c>
      <c r="AX46" s="151">
        <f t="shared" si="156" ref="AX46:BB46">INDEX(MO_RIS_NCI,0,COLUMN())</f>
        <v>0</v>
      </c>
      <c r="AY46" s="151">
        <f t="shared" si="156"/>
        <v>0</v>
      </c>
      <c r="AZ46" s="1112">
        <f t="shared" si="156"/>
        <v>0</v>
      </c>
      <c r="BA46" s="151">
        <f t="shared" si="156"/>
        <v>0</v>
      </c>
      <c r="BB46" s="151">
        <f t="shared" si="156"/>
        <v>0</v>
      </c>
      <c r="BC46" s="151">
        <f t="shared" si="157" ref="BC46:BJ46">INDEX(MO_RIS_NCI,0,COLUMN())</f>
        <v>0</v>
      </c>
      <c r="BD46" s="151">
        <f t="shared" si="157"/>
        <v>0</v>
      </c>
      <c r="BE46" s="1112">
        <f t="shared" si="157"/>
        <v>0</v>
      </c>
      <c r="BF46" s="151">
        <f t="shared" si="157"/>
        <v>0</v>
      </c>
      <c r="BG46" s="151">
        <f t="shared" si="157"/>
        <v>0</v>
      </c>
      <c r="BH46" s="788">
        <f>INDEX(MO_RIS_NCI,0,COLUMN())</f>
        <v>0</v>
      </c>
      <c r="BI46" s="151">
        <f t="shared" si="157"/>
        <v>0</v>
      </c>
      <c r="BJ46" s="1112">
        <f t="shared" si="157"/>
        <v>0</v>
      </c>
      <c r="BK46" s="151">
        <f t="shared" si="158" ref="BK46:BR46">INDEX(MO_RIS_NCI,0,COLUMN())</f>
        <v>0</v>
      </c>
      <c r="BL46" s="151">
        <f t="shared" si="158"/>
        <v>0</v>
      </c>
      <c r="BM46" s="151">
        <f t="shared" si="158"/>
        <v>0</v>
      </c>
      <c r="BN46" s="151">
        <f t="shared" si="158"/>
        <v>0</v>
      </c>
      <c r="BO46" s="1112">
        <f t="shared" si="158"/>
        <v>0</v>
      </c>
      <c r="BP46" s="1112">
        <f t="shared" si="158"/>
        <v>0</v>
      </c>
      <c r="BQ46" s="1112">
        <f t="shared" si="158"/>
        <v>0</v>
      </c>
      <c r="BR46" s="1112">
        <f t="shared" si="158"/>
        <v>0</v>
      </c>
      <c r="BS46" s="839"/>
    </row>
    <row r="47" spans="1:71" s="53" customFormat="1" ht="15">
      <c r="A47" s="677" t="str">
        <f>INDEX(MO_RIS_Dividend_Prefs,0,COLUMN())</f>
        <v>Earnings to Preferred and Other Securities</v>
      </c>
      <c r="B47" s="233"/>
      <c r="C47" s="1113">
        <f t="shared" si="159" ref="C47:AQ47">INDEX(MO_RIS_Dividend_Prefs,0,COLUMN())</f>
        <v>29</v>
      </c>
      <c r="D47" s="1113">
        <f t="shared" si="159"/>
        <v>28</v>
      </c>
      <c r="E47" s="1113">
        <f t="shared" si="159"/>
        <v>12</v>
      </c>
      <c r="F47" s="1113">
        <f t="shared" si="159"/>
        <v>19</v>
      </c>
      <c r="G47" s="1113">
        <f t="shared" si="159"/>
        <v>27</v>
      </c>
      <c r="H47" s="153">
        <f t="shared" si="159"/>
        <v>7</v>
      </c>
      <c r="I47" s="153">
        <f t="shared" si="159"/>
        <v>5</v>
      </c>
      <c r="J47" s="153">
        <f t="shared" si="159"/>
        <v>7</v>
      </c>
      <c r="K47" s="153">
        <f t="shared" si="159"/>
        <v>8</v>
      </c>
      <c r="L47" s="1113">
        <f t="shared" si="159"/>
        <v>27</v>
      </c>
      <c r="M47" s="153">
        <f t="shared" si="159"/>
        <v>6</v>
      </c>
      <c r="N47" s="153">
        <f t="shared" si="159"/>
        <v>6</v>
      </c>
      <c r="O47" s="153">
        <f t="shared" si="159"/>
        <v>6</v>
      </c>
      <c r="P47" s="153">
        <f t="shared" si="159"/>
        <v>7</v>
      </c>
      <c r="Q47" s="1113">
        <f t="shared" si="159"/>
        <v>25</v>
      </c>
      <c r="R47" s="153">
        <f t="shared" si="159"/>
        <v>5</v>
      </c>
      <c r="S47" s="153">
        <f t="shared" si="159"/>
        <v>5</v>
      </c>
      <c r="T47" s="153">
        <f t="shared" si="159"/>
        <v>6</v>
      </c>
      <c r="U47" s="153">
        <f t="shared" si="159"/>
        <v>6</v>
      </c>
      <c r="V47" s="1113">
        <f t="shared" si="159"/>
        <v>22</v>
      </c>
      <c r="W47" s="153">
        <f t="shared" si="159"/>
        <v>4</v>
      </c>
      <c r="X47" s="153">
        <f t="shared" si="159"/>
        <v>5</v>
      </c>
      <c r="Y47" s="153">
        <f t="shared" si="159"/>
        <v>2</v>
      </c>
      <c r="Z47" s="153">
        <f t="shared" si="159"/>
        <v>4</v>
      </c>
      <c r="AA47" s="1113">
        <f t="shared" si="159"/>
        <v>15</v>
      </c>
      <c r="AB47" s="153">
        <f t="shared" si="159"/>
        <v>5</v>
      </c>
      <c r="AC47" s="153">
        <f t="shared" si="159"/>
        <v>4</v>
      </c>
      <c r="AD47" s="153">
        <f t="shared" si="159"/>
        <v>5</v>
      </c>
      <c r="AE47" s="153">
        <f t="shared" si="159"/>
        <v>5</v>
      </c>
      <c r="AF47" s="1113">
        <f t="shared" si="159"/>
        <v>19</v>
      </c>
      <c r="AG47" s="153">
        <f t="shared" si="159"/>
        <v>5</v>
      </c>
      <c r="AH47" s="153">
        <f t="shared" si="159"/>
        <v>4</v>
      </c>
      <c r="AI47" s="153">
        <f t="shared" si="159"/>
        <v>3</v>
      </c>
      <c r="AJ47" s="153">
        <f t="shared" si="159"/>
        <v>7</v>
      </c>
      <c r="AK47" s="1113">
        <f t="shared" si="159"/>
        <v>19</v>
      </c>
      <c r="AL47" s="153">
        <f t="shared" si="159"/>
        <v>5</v>
      </c>
      <c r="AM47" s="153">
        <f t="shared" si="159"/>
        <v>1</v>
      </c>
      <c r="AN47" s="153">
        <f>INDEX(MO_RIS_Dividend_Prefs,0,COLUMN())</f>
        <v>6</v>
      </c>
      <c r="AO47" s="153">
        <f t="shared" si="159"/>
        <v>7</v>
      </c>
      <c r="AP47" s="1113">
        <f t="shared" si="159"/>
        <v>19</v>
      </c>
      <c r="AQ47" s="153">
        <f t="shared" si="159"/>
        <v>5</v>
      </c>
      <c r="AR47" s="153">
        <f t="shared" si="160" ref="AR47:AW47">INDEX(MO_RIS_Dividend_Prefs,0,COLUMN())</f>
        <v>7</v>
      </c>
      <c r="AS47" s="153">
        <f t="shared" si="160"/>
        <v>5</v>
      </c>
      <c r="AT47" s="153">
        <f t="shared" si="160"/>
        <v>10</v>
      </c>
      <c r="AU47" s="1113">
        <f t="shared" si="160"/>
        <v>27</v>
      </c>
      <c r="AV47" s="153">
        <f t="shared" si="160"/>
        <v>7</v>
      </c>
      <c r="AW47" s="153">
        <f t="shared" si="160"/>
        <v>4</v>
      </c>
      <c r="AX47" s="153">
        <f t="shared" si="161" ref="AX47:BB47">INDEX(MO_RIS_Dividend_Prefs,0,COLUMN())</f>
        <v>4</v>
      </c>
      <c r="AY47" s="153">
        <f t="shared" si="161"/>
        <v>5</v>
      </c>
      <c r="AZ47" s="1113">
        <f t="shared" si="161"/>
        <v>20</v>
      </c>
      <c r="BA47" s="153">
        <f t="shared" si="161"/>
        <v>7</v>
      </c>
      <c r="BB47" s="153">
        <f t="shared" si="161"/>
        <v>1</v>
      </c>
      <c r="BC47" s="153">
        <f t="shared" si="162" ref="BC47:BJ47">INDEX(MO_RIS_Dividend_Prefs,0,COLUMN())</f>
        <v>3</v>
      </c>
      <c r="BD47" s="153">
        <f t="shared" si="162"/>
        <v>12</v>
      </c>
      <c r="BE47" s="1113">
        <f t="shared" si="162"/>
        <v>22</v>
      </c>
      <c r="BF47" s="153">
        <f t="shared" si="162"/>
        <v>8</v>
      </c>
      <c r="BG47" s="153">
        <f t="shared" si="162"/>
        <v>5</v>
      </c>
      <c r="BH47" s="789">
        <f>INDEX(MO_RIS_Dividend_Prefs,0,COLUMN())</f>
        <v>10</v>
      </c>
      <c r="BI47" s="153">
        <f t="shared" si="162"/>
        <v>7</v>
      </c>
      <c r="BJ47" s="1113">
        <f t="shared" si="162"/>
        <v>30</v>
      </c>
      <c r="BK47" s="153">
        <f t="shared" si="163" ref="BK47:BR47">INDEX(MO_RIS_Dividend_Prefs,0,COLUMN())</f>
        <v>7</v>
      </c>
      <c r="BL47" s="153">
        <f t="shared" si="163"/>
        <v>7</v>
      </c>
      <c r="BM47" s="153">
        <f t="shared" si="163"/>
        <v>7</v>
      </c>
      <c r="BN47" s="153">
        <f t="shared" si="163"/>
        <v>7</v>
      </c>
      <c r="BO47" s="1113">
        <f t="shared" si="163"/>
        <v>28</v>
      </c>
      <c r="BP47" s="1113">
        <f t="shared" si="163"/>
        <v>28</v>
      </c>
      <c r="BQ47" s="1113">
        <f t="shared" si="163"/>
        <v>28</v>
      </c>
      <c r="BR47" s="1113">
        <f t="shared" si="163"/>
        <v>28</v>
      </c>
      <c r="BS47" s="839"/>
    </row>
    <row r="48" spans="1:71" s="54" customFormat="1" ht="15">
      <c r="A48" s="228" t="str">
        <f>INDEX(MO_RIS_NI_GAAP_Basic,0,COLUMN())</f>
        <v>Net Income to Common Shareholders</v>
      </c>
      <c r="B48" s="229"/>
      <c r="C48" s="1110">
        <f t="shared" si="164" ref="C48:AH48">INDEX(MO_RIS_NI_GAAP_Basic,0,COLUMN())</f>
        <v>3593</v>
      </c>
      <c r="D48" s="1110">
        <f t="shared" si="164"/>
        <v>3188</v>
      </c>
      <c r="E48" s="1110">
        <f t="shared" si="164"/>
        <v>1414</v>
      </c>
      <c r="F48" s="1110">
        <f t="shared" si="164"/>
        <v>2454</v>
      </c>
      <c r="G48" s="1110">
        <f t="shared" si="164"/>
        <v>3646</v>
      </c>
      <c r="H48" s="161">
        <f t="shared" si="164"/>
        <v>1045</v>
      </c>
      <c r="I48" s="161">
        <f t="shared" si="164"/>
        <v>678</v>
      </c>
      <c r="J48" s="161">
        <f t="shared" si="164"/>
        <v>912</v>
      </c>
      <c r="K48" s="161">
        <f t="shared" si="164"/>
        <v>1030</v>
      </c>
      <c r="L48" s="1110">
        <f t="shared" si="164"/>
        <v>3665</v>
      </c>
      <c r="M48" s="161">
        <f t="shared" si="164"/>
        <v>827</v>
      </c>
      <c r="N48" s="161">
        <f t="shared" si="164"/>
        <v>806</v>
      </c>
      <c r="O48" s="161">
        <f t="shared" si="164"/>
        <v>922</v>
      </c>
      <c r="P48" s="161">
        <f t="shared" si="164"/>
        <v>859</v>
      </c>
      <c r="Q48" s="1110">
        <f t="shared" si="164"/>
        <v>3414</v>
      </c>
      <c r="R48" s="161">
        <f t="shared" si="164"/>
        <v>686</v>
      </c>
      <c r="S48" s="161">
        <f t="shared" si="164"/>
        <v>659</v>
      </c>
      <c r="T48" s="161">
        <f t="shared" si="164"/>
        <v>710</v>
      </c>
      <c r="U48" s="161">
        <f t="shared" si="164"/>
        <v>937</v>
      </c>
      <c r="V48" s="1110">
        <f t="shared" si="164"/>
        <v>2992</v>
      </c>
      <c r="W48" s="161">
        <f t="shared" si="164"/>
        <v>613</v>
      </c>
      <c r="X48" s="161">
        <f t="shared" si="164"/>
        <v>590</v>
      </c>
      <c r="Y48" s="161">
        <f t="shared" si="164"/>
        <v>291</v>
      </c>
      <c r="Z48" s="161">
        <f t="shared" si="164"/>
        <v>547</v>
      </c>
      <c r="AA48" s="1110">
        <f t="shared" si="164"/>
        <v>2041</v>
      </c>
      <c r="AB48" s="161">
        <f t="shared" si="164"/>
        <v>664</v>
      </c>
      <c r="AC48" s="161">
        <f t="shared" si="164"/>
        <v>520</v>
      </c>
      <c r="AD48" s="161">
        <f t="shared" si="164"/>
        <v>704</v>
      </c>
      <c r="AE48" s="161">
        <f t="shared" si="164"/>
        <v>616</v>
      </c>
      <c r="AF48" s="1110">
        <f t="shared" si="164"/>
        <v>2504</v>
      </c>
      <c r="AG48" s="161">
        <f t="shared" si="164"/>
        <v>791</v>
      </c>
      <c r="AH48" s="161">
        <f t="shared" si="164"/>
        <v>553</v>
      </c>
      <c r="AI48" s="161">
        <f t="shared" si="165" ref="AI48:AW48">INDEX(MO_RIS_NI_GAAP_Basic,0,COLUMN())</f>
        <v>393</v>
      </c>
      <c r="AJ48" s="161">
        <f t="shared" si="165"/>
        <v>866</v>
      </c>
      <c r="AK48" s="1110">
        <f t="shared" si="165"/>
        <v>2603</v>
      </c>
      <c r="AL48" s="161">
        <f t="shared" si="165"/>
        <v>595</v>
      </c>
      <c r="AM48" s="161">
        <f t="shared" si="165"/>
        <v>-41</v>
      </c>
      <c r="AN48" s="161">
        <f t="shared" si="165"/>
        <v>821</v>
      </c>
      <c r="AO48" s="161">
        <f t="shared" si="165"/>
        <v>1303</v>
      </c>
      <c r="AP48" s="1110">
        <f t="shared" si="165"/>
        <v>2678</v>
      </c>
      <c r="AQ48" s="161">
        <f t="shared" si="165"/>
        <v>728</v>
      </c>
      <c r="AR48" s="161">
        <f t="shared" si="165"/>
        <v>927</v>
      </c>
      <c r="AS48" s="161">
        <f t="shared" si="165"/>
        <v>657</v>
      </c>
      <c r="AT48" s="161">
        <f t="shared" si="165"/>
        <v>1323</v>
      </c>
      <c r="AU48" s="1110">
        <f t="shared" si="165"/>
        <v>3635</v>
      </c>
      <c r="AV48" s="161">
        <f t="shared" si="165"/>
        <v>1011</v>
      </c>
      <c r="AW48" s="161">
        <f t="shared" si="165"/>
        <v>547</v>
      </c>
      <c r="AX48" s="161">
        <f t="shared" si="166" ref="AX48:BC48">INDEX(MO_RIS_NI_GAAP_Basic,0,COLUMN())</f>
        <v>450</v>
      </c>
      <c r="AY48" s="161">
        <f t="shared" si="166"/>
        <v>814</v>
      </c>
      <c r="AZ48" s="1110">
        <f t="shared" si="166"/>
        <v>2822</v>
      </c>
      <c r="BA48" s="161">
        <f t="shared" si="166"/>
        <v>968</v>
      </c>
      <c r="BB48" s="161">
        <f t="shared" si="166"/>
        <v>-15</v>
      </c>
      <c r="BC48" s="161">
        <f t="shared" si="166"/>
        <v>401</v>
      </c>
      <c r="BD48" s="161">
        <f t="shared" si="167" ref="BD48:BJ48">INDEX(MO_RIS_NI_GAAP_Basic,0,COLUMN())</f>
        <v>1614</v>
      </c>
      <c r="BE48" s="1110">
        <f t="shared" si="167"/>
        <v>2969</v>
      </c>
      <c r="BF48" s="161">
        <f t="shared" si="167"/>
        <v>1115</v>
      </c>
      <c r="BG48" s="161">
        <f t="shared" si="167"/>
        <v>529</v>
      </c>
      <c r="BH48" s="786">
        <f>INDEX(MO_RIS_NI_GAAP_Basic,0,COLUMN())</f>
        <v>1250</v>
      </c>
      <c r="BI48" s="161">
        <f t="shared" si="167"/>
        <v>1442.3530970300685</v>
      </c>
      <c r="BJ48" s="1110">
        <f t="shared" si="167"/>
        <v>4336.3530970300617</v>
      </c>
      <c r="BK48" s="161">
        <f t="shared" si="168" ref="BK48:BR48">INDEX(MO_RIS_NI_GAAP_Basic,0,COLUMN())</f>
        <v>1294.7626772224119</v>
      </c>
      <c r="BL48" s="161">
        <f t="shared" si="168"/>
        <v>877.09699517122965</v>
      </c>
      <c r="BM48" s="161">
        <f t="shared" si="168"/>
        <v>1071.1874870455722</v>
      </c>
      <c r="BN48" s="161">
        <f t="shared" si="168"/>
        <v>1514.8357756470418</v>
      </c>
      <c r="BO48" s="1110">
        <f t="shared" si="168"/>
        <v>4757.8829350862425</v>
      </c>
      <c r="BP48" s="1110">
        <f t="shared" si="168"/>
        <v>5224.8451105356808</v>
      </c>
      <c r="BQ48" s="1110">
        <f t="shared" si="168"/>
        <v>5614.7033276620832</v>
      </c>
      <c r="BR48" s="1110">
        <f t="shared" si="168"/>
        <v>5117.8457754215715</v>
      </c>
      <c r="BS48" s="840"/>
    </row>
    <row r="49" spans="1:71" s="54" customFormat="1" ht="15">
      <c r="A49" s="226" t="str">
        <f>INDEX(MO_RIS_Adjustments_Dilution_GAAP,0,COLUMN())</f>
        <v>Adjustments for Convertible Securities</v>
      </c>
      <c r="B49" s="227"/>
      <c r="C49" s="1112">
        <f t="shared" si="169" ref="C49:AH49">INDEX(MO_RIS_Adjustments_Dilution_GAAP,0,COLUMN())</f>
        <v>-6</v>
      </c>
      <c r="D49" s="1112">
        <f t="shared" si="169"/>
        <v>-5</v>
      </c>
      <c r="E49" s="1112">
        <f t="shared" si="169"/>
        <v>-1</v>
      </c>
      <c r="F49" s="1112">
        <f t="shared" si="169"/>
        <v>0</v>
      </c>
      <c r="G49" s="1112">
        <f t="shared" si="169"/>
        <v>0</v>
      </c>
      <c r="H49" s="151">
        <f t="shared" si="169"/>
        <v>0</v>
      </c>
      <c r="I49" s="151">
        <f t="shared" si="169"/>
        <v>0</v>
      </c>
      <c r="J49" s="151">
        <f t="shared" si="169"/>
        <v>0</v>
      </c>
      <c r="K49" s="151">
        <f t="shared" si="169"/>
        <v>0</v>
      </c>
      <c r="L49" s="1112">
        <f t="shared" si="169"/>
        <v>0</v>
      </c>
      <c r="M49" s="151">
        <f t="shared" si="169"/>
        <v>0</v>
      </c>
      <c r="N49" s="151">
        <f t="shared" si="169"/>
        <v>0</v>
      </c>
      <c r="O49" s="151">
        <f t="shared" si="169"/>
        <v>0</v>
      </c>
      <c r="P49" s="151">
        <f t="shared" si="169"/>
        <v>0</v>
      </c>
      <c r="Q49" s="1112">
        <f t="shared" si="169"/>
        <v>0</v>
      </c>
      <c r="R49" s="151">
        <f t="shared" si="169"/>
        <v>0</v>
      </c>
      <c r="S49" s="151">
        <f t="shared" si="169"/>
        <v>0</v>
      </c>
      <c r="T49" s="151">
        <f t="shared" si="169"/>
        <v>0</v>
      </c>
      <c r="U49" s="151">
        <f t="shared" si="169"/>
        <v>0</v>
      </c>
      <c r="V49" s="1112">
        <f t="shared" si="169"/>
        <v>0</v>
      </c>
      <c r="W49" s="151">
        <f t="shared" si="169"/>
        <v>0</v>
      </c>
      <c r="X49" s="151">
        <f t="shared" si="169"/>
        <v>0</v>
      </c>
      <c r="Y49" s="151">
        <f t="shared" si="169"/>
        <v>0</v>
      </c>
      <c r="Z49" s="151">
        <f t="shared" si="169"/>
        <v>0</v>
      </c>
      <c r="AA49" s="1112">
        <f t="shared" si="169"/>
        <v>0</v>
      </c>
      <c r="AB49" s="151">
        <f t="shared" si="169"/>
        <v>0</v>
      </c>
      <c r="AC49" s="151">
        <f t="shared" si="169"/>
        <v>0</v>
      </c>
      <c r="AD49" s="151">
        <f t="shared" si="169"/>
        <v>0</v>
      </c>
      <c r="AE49" s="151">
        <f t="shared" si="169"/>
        <v>0</v>
      </c>
      <c r="AF49" s="1112">
        <f t="shared" si="169"/>
        <v>0</v>
      </c>
      <c r="AG49" s="151">
        <f t="shared" si="169"/>
        <v>0</v>
      </c>
      <c r="AH49" s="151">
        <f t="shared" si="169"/>
        <v>0</v>
      </c>
      <c r="AI49" s="151">
        <f t="shared" si="170" ref="AI49:AW49">INDEX(MO_RIS_Adjustments_Dilution_GAAP,0,COLUMN())</f>
        <v>0</v>
      </c>
      <c r="AJ49" s="151">
        <f t="shared" si="170"/>
        <v>0</v>
      </c>
      <c r="AK49" s="1112">
        <f t="shared" si="170"/>
        <v>0</v>
      </c>
      <c r="AL49" s="151">
        <f t="shared" si="170"/>
        <v>0</v>
      </c>
      <c r="AM49" s="151">
        <f t="shared" si="170"/>
        <v>0</v>
      </c>
      <c r="AN49" s="151">
        <f t="shared" si="170"/>
        <v>0</v>
      </c>
      <c r="AO49" s="151">
        <f t="shared" si="170"/>
        <v>0</v>
      </c>
      <c r="AP49" s="1112">
        <f t="shared" si="170"/>
        <v>0</v>
      </c>
      <c r="AQ49" s="151">
        <f t="shared" si="170"/>
        <v>0</v>
      </c>
      <c r="AR49" s="151">
        <f t="shared" si="170"/>
        <v>0</v>
      </c>
      <c r="AS49" s="151">
        <f t="shared" si="170"/>
        <v>0</v>
      </c>
      <c r="AT49" s="151">
        <f t="shared" si="170"/>
        <v>0</v>
      </c>
      <c r="AU49" s="1112">
        <f t="shared" si="170"/>
        <v>0</v>
      </c>
      <c r="AV49" s="151">
        <f t="shared" si="170"/>
        <v>0</v>
      </c>
      <c r="AW49" s="151">
        <f t="shared" si="170"/>
        <v>0</v>
      </c>
      <c r="AX49" s="151">
        <f t="shared" si="171" ref="AX49:BC49">INDEX(MO_RIS_Adjustments_Dilution_GAAP,0,COLUMN())</f>
        <v>0</v>
      </c>
      <c r="AY49" s="151">
        <f t="shared" si="171"/>
        <v>0</v>
      </c>
      <c r="AZ49" s="1112">
        <f t="shared" si="171"/>
        <v>0</v>
      </c>
      <c r="BA49" s="151">
        <f t="shared" si="171"/>
        <v>0</v>
      </c>
      <c r="BB49" s="151">
        <f t="shared" si="171"/>
        <v>0</v>
      </c>
      <c r="BC49" s="151">
        <f t="shared" si="171"/>
        <v>0</v>
      </c>
      <c r="BD49" s="151">
        <f t="shared" si="172" ref="BD49:BJ49">INDEX(MO_RIS_Adjustments_Dilution_GAAP,0,COLUMN())</f>
        <v>0</v>
      </c>
      <c r="BE49" s="1112">
        <f t="shared" si="172"/>
        <v>0</v>
      </c>
      <c r="BF49" s="151">
        <f t="shared" si="172"/>
        <v>0</v>
      </c>
      <c r="BG49" s="151">
        <f t="shared" si="172"/>
        <v>0</v>
      </c>
      <c r="BH49" s="788">
        <f>INDEX(MO_RIS_Adjustments_Dilution_GAAP,0,COLUMN())</f>
        <v>0</v>
      </c>
      <c r="BI49" s="151">
        <f t="shared" si="172"/>
        <v>0</v>
      </c>
      <c r="BJ49" s="1112">
        <f t="shared" si="172"/>
        <v>0</v>
      </c>
      <c r="BK49" s="151">
        <f t="shared" si="173" ref="BK49:BR49">INDEX(MO_RIS_Adjustments_Dilution_GAAP,0,COLUMN())</f>
        <v>0</v>
      </c>
      <c r="BL49" s="151">
        <f t="shared" si="173"/>
        <v>0</v>
      </c>
      <c r="BM49" s="151">
        <f t="shared" si="173"/>
        <v>0</v>
      </c>
      <c r="BN49" s="151">
        <f t="shared" si="173"/>
        <v>0</v>
      </c>
      <c r="BO49" s="1112">
        <f t="shared" si="173"/>
        <v>0</v>
      </c>
      <c r="BP49" s="1112">
        <f t="shared" si="173"/>
        <v>0</v>
      </c>
      <c r="BQ49" s="1112">
        <f t="shared" si="173"/>
        <v>0</v>
      </c>
      <c r="BR49" s="1112">
        <f t="shared" si="173"/>
        <v>0</v>
      </c>
      <c r="BS49" s="840"/>
    </row>
    <row r="50" spans="1:71" s="54" customFormat="1" ht="15">
      <c r="A50" s="228" t="str">
        <f>INDEX(MO_RIS_NI_GAAP_Diluted,0,COLUMN())</f>
        <v>Diluted Net Income to Common Shareholders</v>
      </c>
      <c r="B50" s="229"/>
      <c r="C50" s="1110">
        <f t="shared" si="174" ref="C50:AH50">INDEX(MO_RIS_NI_GAAP_Diluted,0,COLUMN())</f>
        <v>3599</v>
      </c>
      <c r="D50" s="1110">
        <f t="shared" si="174"/>
        <v>3193</v>
      </c>
      <c r="E50" s="1110">
        <f t="shared" si="174"/>
        <v>1415</v>
      </c>
      <c r="F50" s="1110">
        <f t="shared" si="174"/>
        <v>2454</v>
      </c>
      <c r="G50" s="1110">
        <f t="shared" si="174"/>
        <v>3646</v>
      </c>
      <c r="H50" s="161">
        <f t="shared" si="174"/>
        <v>1045</v>
      </c>
      <c r="I50" s="161">
        <f t="shared" si="174"/>
        <v>678</v>
      </c>
      <c r="J50" s="161">
        <f t="shared" si="174"/>
        <v>912</v>
      </c>
      <c r="K50" s="161">
        <f t="shared" si="174"/>
        <v>1030</v>
      </c>
      <c r="L50" s="1110">
        <f t="shared" si="174"/>
        <v>3665</v>
      </c>
      <c r="M50" s="161">
        <f t="shared" si="174"/>
        <v>827</v>
      </c>
      <c r="N50" s="161">
        <f t="shared" si="174"/>
        <v>806</v>
      </c>
      <c r="O50" s="161">
        <f t="shared" si="174"/>
        <v>922</v>
      </c>
      <c r="P50" s="161">
        <f t="shared" si="174"/>
        <v>859</v>
      </c>
      <c r="Q50" s="1110">
        <f t="shared" si="174"/>
        <v>3414</v>
      </c>
      <c r="R50" s="161">
        <f t="shared" si="174"/>
        <v>686</v>
      </c>
      <c r="S50" s="161">
        <f t="shared" si="174"/>
        <v>659</v>
      </c>
      <c r="T50" s="161">
        <f t="shared" si="174"/>
        <v>710</v>
      </c>
      <c r="U50" s="161">
        <f t="shared" si="174"/>
        <v>937</v>
      </c>
      <c r="V50" s="1110">
        <f t="shared" si="174"/>
        <v>2992</v>
      </c>
      <c r="W50" s="161">
        <f t="shared" si="174"/>
        <v>613</v>
      </c>
      <c r="X50" s="161">
        <f t="shared" si="174"/>
        <v>590</v>
      </c>
      <c r="Y50" s="161">
        <f t="shared" si="174"/>
        <v>291</v>
      </c>
      <c r="Z50" s="161">
        <f t="shared" si="174"/>
        <v>547</v>
      </c>
      <c r="AA50" s="1110">
        <f t="shared" si="174"/>
        <v>2041</v>
      </c>
      <c r="AB50" s="161">
        <f t="shared" si="174"/>
        <v>664</v>
      </c>
      <c r="AC50" s="161">
        <f t="shared" si="174"/>
        <v>520</v>
      </c>
      <c r="AD50" s="161">
        <f t="shared" si="174"/>
        <v>704</v>
      </c>
      <c r="AE50" s="161">
        <f t="shared" si="174"/>
        <v>616</v>
      </c>
      <c r="AF50" s="1110">
        <f t="shared" si="174"/>
        <v>2504</v>
      </c>
      <c r="AG50" s="161">
        <f t="shared" si="174"/>
        <v>791</v>
      </c>
      <c r="AH50" s="161">
        <f t="shared" si="174"/>
        <v>553</v>
      </c>
      <c r="AI50" s="161">
        <f t="shared" si="175" ref="AI50:AW50">INDEX(MO_RIS_NI_GAAP_Diluted,0,COLUMN())</f>
        <v>393</v>
      </c>
      <c r="AJ50" s="161">
        <f t="shared" si="175"/>
        <v>866</v>
      </c>
      <c r="AK50" s="1110">
        <f t="shared" si="175"/>
        <v>2603</v>
      </c>
      <c r="AL50" s="161">
        <f t="shared" si="175"/>
        <v>595</v>
      </c>
      <c r="AM50" s="161">
        <f t="shared" si="175"/>
        <v>-41</v>
      </c>
      <c r="AN50" s="161">
        <f t="shared" si="175"/>
        <v>821</v>
      </c>
      <c r="AO50" s="161">
        <f t="shared" si="175"/>
        <v>1303</v>
      </c>
      <c r="AP50" s="1110">
        <f t="shared" si="175"/>
        <v>2678</v>
      </c>
      <c r="AQ50" s="161">
        <f t="shared" si="175"/>
        <v>728</v>
      </c>
      <c r="AR50" s="161">
        <f t="shared" si="175"/>
        <v>927</v>
      </c>
      <c r="AS50" s="161">
        <f t="shared" si="175"/>
        <v>657</v>
      </c>
      <c r="AT50" s="161">
        <f t="shared" si="175"/>
        <v>1323</v>
      </c>
      <c r="AU50" s="1110">
        <f t="shared" si="175"/>
        <v>3635</v>
      </c>
      <c r="AV50" s="161">
        <f t="shared" si="175"/>
        <v>1011</v>
      </c>
      <c r="AW50" s="161">
        <f t="shared" si="175"/>
        <v>547</v>
      </c>
      <c r="AX50" s="161">
        <f t="shared" si="176" ref="AX50:BC50">INDEX(MO_RIS_NI_GAAP_Diluted,0,COLUMN())</f>
        <v>450</v>
      </c>
      <c r="AY50" s="161">
        <f t="shared" si="176"/>
        <v>814</v>
      </c>
      <c r="AZ50" s="1110">
        <f t="shared" si="176"/>
        <v>2822</v>
      </c>
      <c r="BA50" s="161">
        <f t="shared" si="176"/>
        <v>968</v>
      </c>
      <c r="BB50" s="161">
        <f t="shared" si="176"/>
        <v>-15</v>
      </c>
      <c r="BC50" s="161">
        <f t="shared" si="176"/>
        <v>401</v>
      </c>
      <c r="BD50" s="161">
        <f t="shared" si="177" ref="BD50:BJ50">INDEX(MO_RIS_NI_GAAP_Diluted,0,COLUMN())</f>
        <v>1614</v>
      </c>
      <c r="BE50" s="1110">
        <f t="shared" si="177"/>
        <v>2969</v>
      </c>
      <c r="BF50" s="161">
        <f t="shared" si="177"/>
        <v>1115</v>
      </c>
      <c r="BG50" s="161">
        <f t="shared" si="177"/>
        <v>529</v>
      </c>
      <c r="BH50" s="786">
        <f>INDEX(MO_RIS_NI_GAAP_Diluted,0,COLUMN())</f>
        <v>1250</v>
      </c>
      <c r="BI50" s="161">
        <f t="shared" si="177"/>
        <v>1442.3530970300685</v>
      </c>
      <c r="BJ50" s="1110">
        <f t="shared" si="177"/>
        <v>4336.3530970300617</v>
      </c>
      <c r="BK50" s="161">
        <f t="shared" si="178" ref="BK50:BR50">INDEX(MO_RIS_NI_GAAP_Diluted,0,COLUMN())</f>
        <v>1294.7626772224119</v>
      </c>
      <c r="BL50" s="161">
        <f t="shared" si="178"/>
        <v>877.09699517122965</v>
      </c>
      <c r="BM50" s="161">
        <f t="shared" si="178"/>
        <v>1071.1874870455722</v>
      </c>
      <c r="BN50" s="161">
        <f t="shared" si="178"/>
        <v>1514.8357756470418</v>
      </c>
      <c r="BO50" s="1110">
        <f t="shared" si="178"/>
        <v>4757.8829350862425</v>
      </c>
      <c r="BP50" s="1110">
        <f t="shared" si="178"/>
        <v>5224.8451105356808</v>
      </c>
      <c r="BQ50" s="1110">
        <f t="shared" si="178"/>
        <v>5614.7033276620832</v>
      </c>
      <c r="BR50" s="1110">
        <f t="shared" si="178"/>
        <v>5117.8457754215715</v>
      </c>
      <c r="BS50" s="840"/>
    </row>
    <row r="51" spans="1:71" s="52" customFormat="1" ht="15">
      <c r="A51" s="241" t="str">
        <f>INDEX(MO_RIS_EPS_WAD,0,COLUMN())</f>
        <v>Earnings Per Share - WAD</v>
      </c>
      <c r="B51" s="242"/>
      <c r="C51" s="1118">
        <f t="shared" si="179" ref="C51:AH51">INDEX(MO_RIS_EPS_WAD,0,COLUMN())</f>
        <v>6.3295814280689413</v>
      </c>
      <c r="D51" s="1118">
        <f t="shared" si="179"/>
        <v>6.6176165803108811</v>
      </c>
      <c r="E51" s="1118">
        <f t="shared" si="179"/>
        <v>3.3650416171224733</v>
      </c>
      <c r="F51" s="1118">
        <f t="shared" si="179"/>
        <v>6.2955361723961003</v>
      </c>
      <c r="G51" s="1118">
        <f t="shared" si="179"/>
        <v>9.7408495858936686</v>
      </c>
      <c r="H51" s="162">
        <f t="shared" si="179"/>
        <v>2.9469825155104341</v>
      </c>
      <c r="I51" s="162">
        <f t="shared" si="179"/>
        <v>1.9555811941159504</v>
      </c>
      <c r="J51" s="162">
        <f t="shared" si="179"/>
        <v>2.6910593095308353</v>
      </c>
      <c r="K51" s="162">
        <f t="shared" si="179"/>
        <v>3.1117824773413898</v>
      </c>
      <c r="L51" s="1118">
        <f t="shared" si="179"/>
        <v>10.700729927007298</v>
      </c>
      <c r="M51" s="162">
        <f t="shared" si="179"/>
        <v>2.5485362095531587</v>
      </c>
      <c r="N51" s="162">
        <f t="shared" si="179"/>
        <v>2.5345911949685536</v>
      </c>
      <c r="O51" s="162">
        <f t="shared" si="179"/>
        <v>2.964630225080386</v>
      </c>
      <c r="P51" s="162">
        <f t="shared" si="179"/>
        <v>2.8321793603692713</v>
      </c>
      <c r="Q51" s="1118">
        <f t="shared" si="179"/>
        <v>10.876075183179358</v>
      </c>
      <c r="R51" s="162">
        <f t="shared" si="179"/>
        <v>2.3027861698556564</v>
      </c>
      <c r="S51" s="162">
        <f t="shared" si="179"/>
        <v>2.2445504087193457</v>
      </c>
      <c r="T51" s="162">
        <f t="shared" si="179"/>
        <v>2.449965493443754</v>
      </c>
      <c r="U51" s="162">
        <f t="shared" si="179"/>
        <v>3.2865661171518763</v>
      </c>
      <c r="V51" s="1118">
        <f t="shared" si="179"/>
        <v>10.281786941580757</v>
      </c>
      <c r="W51" s="162">
        <f t="shared" si="179"/>
        <v>2.1706798866855528</v>
      </c>
      <c r="X51" s="162">
        <f t="shared" si="179"/>
        <v>2.1071428571428572</v>
      </c>
      <c r="Y51" s="162">
        <f t="shared" si="179"/>
        <v>1.0520607375271149</v>
      </c>
      <c r="Z51" s="162">
        <f t="shared" si="179"/>
        <v>1.9840406238665216</v>
      </c>
      <c r="AA51" s="1118">
        <f t="shared" si="179"/>
        <v>7.3259152907394105</v>
      </c>
      <c r="AB51" s="162">
        <f t="shared" si="179"/>
        <v>2.4242424242424243</v>
      </c>
      <c r="AC51" s="162">
        <f t="shared" si="179"/>
        <v>1.918111398008115</v>
      </c>
      <c r="AD51" s="162">
        <f t="shared" si="179"/>
        <v>2.6229508196721314</v>
      </c>
      <c r="AE51" s="162">
        <f t="shared" si="179"/>
        <v>2.3157894736842106</v>
      </c>
      <c r="AF51" s="1118">
        <f t="shared" si="179"/>
        <v>9.2809488510007405</v>
      </c>
      <c r="AG51" s="162">
        <f t="shared" si="179"/>
        <v>2.9871601208459215</v>
      </c>
      <c r="AH51" s="162">
        <f t="shared" si="179"/>
        <v>2.0970800151687525</v>
      </c>
      <c r="AI51" s="162">
        <f t="shared" si="180" ref="AI51:AW51">INDEX(MO_RIS_EPS_WAD,0,COLUMN())</f>
        <v>1.5011459129106188</v>
      </c>
      <c r="AJ51" s="162">
        <f t="shared" si="180"/>
        <v>3.3436293436293436</v>
      </c>
      <c r="AK51" s="1118">
        <f t="shared" si="180"/>
        <v>9.9237514296606939</v>
      </c>
      <c r="AL51" s="162">
        <f t="shared" si="180"/>
        <v>2.3251270027354436</v>
      </c>
      <c r="AM51" s="162">
        <f t="shared" si="180"/>
        <v>-0.16295707472178061</v>
      </c>
      <c r="AN51" s="162">
        <f t="shared" si="180"/>
        <v>3.2284703106567045</v>
      </c>
      <c r="AO51" s="162">
        <f t="shared" si="180"/>
        <v>5.113814756671899</v>
      </c>
      <c r="AP51" s="1118">
        <f t="shared" si="180"/>
        <v>10.518460329929301</v>
      </c>
      <c r="AQ51" s="162">
        <f t="shared" si="180"/>
        <v>2.8650137741046833</v>
      </c>
      <c r="AR51" s="162">
        <f t="shared" si="180"/>
        <v>3.6625839589095222</v>
      </c>
      <c r="AS51" s="162">
        <f t="shared" si="180"/>
        <v>2.6269492203118752</v>
      </c>
      <c r="AT51" s="162">
        <f t="shared" si="180"/>
        <v>5.3693181818181817</v>
      </c>
      <c r="AU51" s="1118">
        <f t="shared" si="180"/>
        <v>14.493620414673046</v>
      </c>
      <c r="AV51" s="162">
        <f t="shared" si="180"/>
        <v>4.1485432909314737</v>
      </c>
      <c r="AW51" s="162">
        <f t="shared" si="180"/>
        <v>2.2687681459975115</v>
      </c>
      <c r="AX51" s="162">
        <f t="shared" si="181" ref="AX51:BC51">INDEX(MO_RIS_EPS_WAD,0,COLUMN())</f>
        <v>1.8915510718789408</v>
      </c>
      <c r="AY51" s="162">
        <f t="shared" si="181"/>
        <v>3.4447735928903933</v>
      </c>
      <c r="AZ51" s="1118">
        <f t="shared" si="181"/>
        <v>11.773049645390071</v>
      </c>
      <c r="BA51" s="162">
        <f t="shared" si="181"/>
        <v>4.1296928327645048</v>
      </c>
      <c r="BB51" s="162">
        <f t="shared" si="181"/>
        <v>-0.065302568567697006</v>
      </c>
      <c r="BC51" s="162">
        <f t="shared" si="181"/>
        <v>1.735179575941151</v>
      </c>
      <c r="BD51" s="162">
        <f t="shared" si="182" ref="BD51:BJ51">INDEX(MO_RIS_EPS_WAD,0,COLUMN())</f>
        <v>6.9839896148853313</v>
      </c>
      <c r="BE51" s="1118">
        <f t="shared" si="182"/>
        <v>12.786391042204997</v>
      </c>
      <c r="BF51" s="162">
        <f t="shared" si="182"/>
        <v>4.806034482758621</v>
      </c>
      <c r="BG51" s="162">
        <f t="shared" si="182"/>
        <v>2.2850971922246219</v>
      </c>
      <c r="BH51" s="794">
        <f>INDEX(MO_RIS_EPS_WAD,0,COLUMN())</f>
        <v>5.4206418039895929</v>
      </c>
      <c r="BI51" s="162">
        <f t="shared" ca="1" si="182"/>
        <v>6.2783341547002784</v>
      </c>
      <c r="BJ51" s="1118">
        <f t="shared" ca="1" si="182"/>
        <v>18.790989891697937</v>
      </c>
      <c r="BK51" s="162">
        <f ca="1" t="shared" si="183" ref="BK51:BR51">INDEX(MO_RIS_EPS_WAD,0,COLUMN())</f>
        <v>5.6473270694919169</v>
      </c>
      <c r="BL51" s="162">
        <f t="shared" ca="1" si="183"/>
        <v>3.825607341436863</v>
      </c>
      <c r="BM51" s="162">
        <f t="shared" ca="1" si="183"/>
        <v>4.6721659486438352</v>
      </c>
      <c r="BN51" s="162">
        <f t="shared" ca="1" si="183"/>
        <v>6.6072132230428826</v>
      </c>
      <c r="BO51" s="1118">
        <f t="shared" ca="1" si="183"/>
        <v>20.752313582615443</v>
      </c>
      <c r="BP51" s="1118">
        <f t="shared" ca="1" si="183"/>
        <v>22.789048329636152</v>
      </c>
      <c r="BQ51" s="1118">
        <f t="shared" ca="1" si="183"/>
        <v>24.489481081964858</v>
      </c>
      <c r="BR51" s="1118">
        <f t="shared" ca="1" si="183"/>
        <v>22.322352577404683</v>
      </c>
      <c r="BS51" s="162"/>
    </row>
    <row r="52" spans="1:71" s="53" customFormat="1" ht="15">
      <c r="A52" s="676" t="str">
        <f>INDEX(MO_RIS_ShareCount_WAD_Adj,0,COLUMN())</f>
        <v>Adjusted Shares Outstanding - WAD</v>
      </c>
      <c r="B52" s="227"/>
      <c r="C52" s="1119">
        <f t="shared" si="184" ref="C52:AH52">INDEX(MO_RIS_ShareCount_WAD_Adj,0,COLUMN())</f>
        <v>568.60</v>
      </c>
      <c r="D52" s="1119">
        <f t="shared" si="184"/>
        <v>482.50</v>
      </c>
      <c r="E52" s="1119">
        <f t="shared" si="184"/>
        <v>420.50</v>
      </c>
      <c r="F52" s="1119">
        <f t="shared" si="184"/>
        <v>389.80</v>
      </c>
      <c r="G52" s="1119">
        <f t="shared" si="184"/>
        <v>374.30</v>
      </c>
      <c r="H52" s="894">
        <f t="shared" si="184"/>
        <v>354.60</v>
      </c>
      <c r="I52" s="894">
        <f t="shared" si="184"/>
        <v>346.70</v>
      </c>
      <c r="J52" s="894">
        <f t="shared" si="184"/>
        <v>338.90</v>
      </c>
      <c r="K52" s="894">
        <f t="shared" si="184"/>
        <v>331</v>
      </c>
      <c r="L52" s="1119">
        <f t="shared" si="184"/>
        <v>342.50</v>
      </c>
      <c r="M52" s="894">
        <f t="shared" si="184"/>
        <v>324.50</v>
      </c>
      <c r="N52" s="894">
        <f t="shared" si="184"/>
        <v>318</v>
      </c>
      <c r="O52" s="894">
        <f t="shared" si="184"/>
        <v>311</v>
      </c>
      <c r="P52" s="894">
        <f t="shared" si="184"/>
        <v>303.30</v>
      </c>
      <c r="Q52" s="1119">
        <f t="shared" si="184"/>
        <v>313.89999999999998</v>
      </c>
      <c r="R52" s="894">
        <f t="shared" si="184"/>
        <v>297.89999999999998</v>
      </c>
      <c r="S52" s="894">
        <f t="shared" si="184"/>
        <v>293.60000000000002</v>
      </c>
      <c r="T52" s="894">
        <f t="shared" si="184"/>
        <v>289.80</v>
      </c>
      <c r="U52" s="894">
        <f t="shared" si="184"/>
        <v>285.10000000000002</v>
      </c>
      <c r="V52" s="1119">
        <f t="shared" si="184"/>
        <v>291</v>
      </c>
      <c r="W52" s="894">
        <f t="shared" si="184"/>
        <v>282.39999999999998</v>
      </c>
      <c r="X52" s="894">
        <f t="shared" si="184"/>
        <v>280</v>
      </c>
      <c r="Y52" s="894">
        <f t="shared" si="184"/>
        <v>276.60000000000002</v>
      </c>
      <c r="Z52" s="894">
        <f t="shared" si="184"/>
        <v>275.70</v>
      </c>
      <c r="AA52" s="1119">
        <f t="shared" si="184"/>
        <v>278.60000000000002</v>
      </c>
      <c r="AB52" s="894">
        <f t="shared" si="184"/>
        <v>273.89999999999998</v>
      </c>
      <c r="AC52" s="894">
        <f t="shared" si="184"/>
        <v>271.10000000000002</v>
      </c>
      <c r="AD52" s="894">
        <f t="shared" si="184"/>
        <v>268.39999999999998</v>
      </c>
      <c r="AE52" s="894">
        <f t="shared" si="184"/>
        <v>266</v>
      </c>
      <c r="AF52" s="1119">
        <f t="shared" si="184"/>
        <v>269.80</v>
      </c>
      <c r="AG52" s="894">
        <f t="shared" si="184"/>
        <v>264.80</v>
      </c>
      <c r="AH52" s="894">
        <f t="shared" si="184"/>
        <v>263.70</v>
      </c>
      <c r="AI52" s="894">
        <f t="shared" si="185" ref="AI52:BJ52">INDEX(MO_RIS_ShareCount_WAD_Adj,0,COLUMN())</f>
        <v>261.80</v>
      </c>
      <c r="AJ52" s="894">
        <f t="shared" si="185"/>
        <v>259</v>
      </c>
      <c r="AK52" s="1119">
        <f t="shared" si="185"/>
        <v>262.30</v>
      </c>
      <c r="AL52" s="894">
        <f t="shared" si="185"/>
        <v>255.90</v>
      </c>
      <c r="AM52" s="894">
        <f t="shared" si="185"/>
        <v>251.60</v>
      </c>
      <c r="AN52" s="894">
        <f t="shared" si="185"/>
        <v>254.30</v>
      </c>
      <c r="AO52" s="894">
        <f t="shared" si="185"/>
        <v>254.80</v>
      </c>
      <c r="AP52" s="1119">
        <f t="shared" si="185"/>
        <v>254.60</v>
      </c>
      <c r="AQ52" s="894">
        <f t="shared" si="185"/>
        <v>254.10</v>
      </c>
      <c r="AR52" s="894">
        <f t="shared" si="185"/>
        <v>253.10</v>
      </c>
      <c r="AS52" s="894">
        <f t="shared" si="185"/>
        <v>250.10</v>
      </c>
      <c r="AT52" s="894">
        <f t="shared" si="185"/>
        <v>246.40</v>
      </c>
      <c r="AU52" s="1119">
        <f t="shared" si="185"/>
        <v>250.80</v>
      </c>
      <c r="AV52" s="894">
        <f t="shared" si="185"/>
        <v>243.70</v>
      </c>
      <c r="AW52" s="894">
        <f t="shared" si="185"/>
        <v>241.10</v>
      </c>
      <c r="AX52" s="894">
        <f t="shared" si="185"/>
        <v>237.90</v>
      </c>
      <c r="AY52" s="894">
        <f t="shared" si="185"/>
        <v>236.30</v>
      </c>
      <c r="AZ52" s="1119">
        <f t="shared" si="185"/>
        <v>239.70</v>
      </c>
      <c r="BA52" s="894">
        <f t="shared" si="185"/>
        <v>234.40</v>
      </c>
      <c r="BB52" s="894">
        <f t="shared" si="185"/>
        <v>229.70</v>
      </c>
      <c r="BC52" s="894">
        <f t="shared" si="185"/>
        <v>231.10</v>
      </c>
      <c r="BD52" s="894">
        <f>INDEX(MO_RIS_ShareCount_WAD_Adj,0,COLUMN())</f>
        <v>231.10</v>
      </c>
      <c r="BE52" s="1119">
        <f>INDEX(MO_RIS_ShareCount_WAD_Adj,0,COLUMN())</f>
        <v>232.20</v>
      </c>
      <c r="BF52" s="894">
        <f>INDEX(MO_RIS_ShareCount_WAD_Adj,0,COLUMN())</f>
        <v>232</v>
      </c>
      <c r="BG52" s="894">
        <f>INDEX(MO_RIS_ShareCount_WAD_Adj,0,COLUMN())</f>
        <v>231.50</v>
      </c>
      <c r="BH52" s="895">
        <f>INDEX(MO_RIS_ShareCount_WAD_Adj,0,COLUMN())</f>
        <v>230.60</v>
      </c>
      <c r="BI52" s="894">
        <f t="shared" ca="1" si="185"/>
        <v>229.735</v>
      </c>
      <c r="BJ52" s="1119">
        <f t="shared" ca="1" si="185"/>
        <v>230.76767759562841</v>
      </c>
      <c r="BK52" s="894">
        <f ca="1" t="shared" si="186" ref="BK52:BR52">INDEX(MO_RIS_ShareCount_WAD_Adj,0,COLUMN())</f>
        <v>229.27</v>
      </c>
      <c r="BL52" s="894">
        <f t="shared" ca="1" si="186"/>
        <v>229.27</v>
      </c>
      <c r="BM52" s="894">
        <f t="shared" ca="1" si="186"/>
        <v>229.27</v>
      </c>
      <c r="BN52" s="894">
        <f t="shared" ca="1" si="186"/>
        <v>229.27</v>
      </c>
      <c r="BO52" s="1119">
        <f t="shared" ca="1" si="186"/>
        <v>229.26999999999998</v>
      </c>
      <c r="BP52" s="1119">
        <f t="shared" ca="1" si="186"/>
        <v>229.27</v>
      </c>
      <c r="BQ52" s="1119">
        <f t="shared" ca="1" si="186"/>
        <v>229.27</v>
      </c>
      <c r="BR52" s="1119">
        <f t="shared" ca="1" si="186"/>
        <v>229.27</v>
      </c>
      <c r="BS52" s="839"/>
    </row>
    <row r="53" spans="1:71" s="53" customFormat="1" ht="15">
      <c r="A53" s="226"/>
      <c r="B53" s="227"/>
      <c r="C53" s="1119"/>
      <c r="D53" s="1119"/>
      <c r="E53" s="1119"/>
      <c r="F53" s="1119"/>
      <c r="G53" s="1119"/>
      <c r="H53" s="894"/>
      <c r="I53" s="894"/>
      <c r="J53" s="894"/>
      <c r="K53" s="894"/>
      <c r="L53" s="1119"/>
      <c r="M53" s="894"/>
      <c r="N53" s="894"/>
      <c r="O53" s="894"/>
      <c r="P53" s="894"/>
      <c r="Q53" s="1119"/>
      <c r="R53" s="894"/>
      <c r="S53" s="894"/>
      <c r="T53" s="894"/>
      <c r="U53" s="894"/>
      <c r="V53" s="1119"/>
      <c r="W53" s="894"/>
      <c r="X53" s="894"/>
      <c r="Y53" s="894"/>
      <c r="Z53" s="894"/>
      <c r="AA53" s="1119"/>
      <c r="AB53" s="894"/>
      <c r="AC53" s="894"/>
      <c r="AD53" s="894"/>
      <c r="AE53" s="894"/>
      <c r="AF53" s="1119"/>
      <c r="AG53" s="894"/>
      <c r="AH53" s="894"/>
      <c r="AI53" s="894"/>
      <c r="AJ53" s="894"/>
      <c r="AK53" s="1119"/>
      <c r="AL53" s="894"/>
      <c r="AM53" s="894"/>
      <c r="AN53" s="894"/>
      <c r="AO53" s="894"/>
      <c r="AP53" s="1119"/>
      <c r="AQ53" s="894"/>
      <c r="AR53" s="894"/>
      <c r="AS53" s="894"/>
      <c r="AT53" s="894"/>
      <c r="AU53" s="1119"/>
      <c r="AV53" s="894"/>
      <c r="AW53" s="894"/>
      <c r="AX53" s="894"/>
      <c r="AY53" s="894"/>
      <c r="AZ53" s="1119"/>
      <c r="BA53" s="894"/>
      <c r="BB53" s="894"/>
      <c r="BC53" s="894"/>
      <c r="BD53" s="894"/>
      <c r="BE53" s="1119"/>
      <c r="BF53" s="894"/>
      <c r="BG53" s="894"/>
      <c r="BH53" s="895"/>
      <c r="BI53" s="894"/>
      <c r="BJ53" s="1119"/>
      <c r="BK53" s="894"/>
      <c r="BL53" s="894"/>
      <c r="BM53" s="894"/>
      <c r="BN53" s="894"/>
      <c r="BO53" s="1119"/>
      <c r="BP53" s="1119"/>
      <c r="BQ53" s="1119"/>
      <c r="BR53" s="1119"/>
      <c r="BS53" s="839"/>
    </row>
    <row r="54" spans="1:71" ht="15">
      <c r="A54" s="143" t="s">
        <v>327</v>
      </c>
      <c r="B54" s="144"/>
      <c r="C54" s="144"/>
      <c r="D54" s="144"/>
      <c r="E54" s="144"/>
      <c r="F54" s="144"/>
      <c r="G54" s="144"/>
      <c r="H54" s="144"/>
      <c r="I54" s="144"/>
      <c r="J54" s="144"/>
      <c r="K54" s="144"/>
      <c r="L54" s="144"/>
      <c r="M54" s="144"/>
      <c r="N54" s="144"/>
      <c r="O54" s="144"/>
      <c r="P54" s="144"/>
      <c r="Q54" s="144"/>
      <c r="R54" s="144"/>
      <c r="S54" s="144"/>
      <c r="T54" s="144"/>
      <c r="U54" s="144"/>
      <c r="V54" s="144"/>
      <c r="W54" s="144"/>
      <c r="X54" s="144"/>
      <c r="Y54" s="144"/>
      <c r="Z54" s="144"/>
      <c r="AA54" s="144"/>
      <c r="AB54" s="144"/>
      <c r="AC54" s="144"/>
      <c r="AD54" s="144"/>
      <c r="AE54" s="144"/>
      <c r="AF54" s="144"/>
      <c r="AG54" s="144"/>
      <c r="AH54" s="144"/>
      <c r="AI54" s="144"/>
      <c r="AJ54" s="144"/>
      <c r="AK54" s="144"/>
      <c r="AL54" s="144"/>
      <c r="AM54" s="144"/>
      <c r="AN54" s="144"/>
      <c r="AO54" s="144"/>
      <c r="AP54" s="144"/>
      <c r="AQ54" s="144"/>
      <c r="AR54" s="144"/>
      <c r="AS54" s="144"/>
      <c r="AT54" s="144"/>
      <c r="AU54" s="144"/>
      <c r="AV54" s="144"/>
      <c r="AW54" s="144"/>
      <c r="AX54" s="144"/>
      <c r="AY54" s="144"/>
      <c r="AZ54" s="144"/>
      <c r="BA54" s="144"/>
      <c r="BB54" s="144"/>
      <c r="BC54" s="144"/>
      <c r="BD54" s="144"/>
      <c r="BE54" s="144"/>
      <c r="BF54" s="144"/>
      <c r="BG54" s="144"/>
      <c r="BH54" s="564"/>
      <c r="BI54" s="144"/>
      <c r="BJ54" s="144"/>
      <c r="BK54" s="144"/>
      <c r="BL54" s="144"/>
      <c r="BM54" s="144"/>
      <c r="BN54" s="144"/>
      <c r="BO54" s="144"/>
      <c r="BP54" s="144"/>
      <c r="BQ54" s="144"/>
      <c r="BR54" s="144"/>
      <c r="BS54" s="155"/>
    </row>
    <row r="55" spans="1:71" s="54" customFormat="1" ht="15">
      <c r="A55" s="225" t="str">
        <f>INDEX(MO_RIS_NI_NONGAAP_Diluted,0,COLUMN())</f>
        <v>Core Income</v>
      </c>
      <c r="B55" s="232"/>
      <c r="C55" s="1120">
        <f t="shared" si="187" ref="C55:AQ55">INDEX(MO_RIS_NI_NONGAAP_Diluted,0,COLUMN())</f>
        <v>3600</v>
      </c>
      <c r="D55" s="1120">
        <f t="shared" si="187"/>
        <v>3043</v>
      </c>
      <c r="E55" s="1120">
        <f t="shared" si="187"/>
        <v>1390</v>
      </c>
      <c r="F55" s="1120">
        <f t="shared" si="187"/>
        <v>2441</v>
      </c>
      <c r="G55" s="1120">
        <f t="shared" si="187"/>
        <v>3567</v>
      </c>
      <c r="H55" s="897">
        <f t="shared" si="187"/>
        <v>1052</v>
      </c>
      <c r="I55" s="897">
        <f t="shared" si="187"/>
        <v>673</v>
      </c>
      <c r="J55" s="897">
        <f t="shared" si="187"/>
        <v>893</v>
      </c>
      <c r="K55" s="897">
        <f t="shared" si="187"/>
        <v>1023</v>
      </c>
      <c r="L55" s="1120">
        <f t="shared" si="187"/>
        <v>3641</v>
      </c>
      <c r="M55" s="897">
        <f t="shared" si="187"/>
        <v>827</v>
      </c>
      <c r="N55" s="897">
        <f t="shared" si="187"/>
        <v>806</v>
      </c>
      <c r="O55" s="897">
        <f t="shared" si="187"/>
        <v>918</v>
      </c>
      <c r="P55" s="897">
        <f t="shared" si="187"/>
        <v>886</v>
      </c>
      <c r="Q55" s="1120">
        <f t="shared" si="187"/>
        <v>3437</v>
      </c>
      <c r="R55" s="897">
        <f t="shared" si="187"/>
        <v>698</v>
      </c>
      <c r="S55" s="897">
        <f t="shared" si="187"/>
        <v>649</v>
      </c>
      <c r="T55" s="897">
        <f t="shared" si="187"/>
        <v>701</v>
      </c>
      <c r="U55" s="897">
        <f t="shared" si="187"/>
        <v>919</v>
      </c>
      <c r="V55" s="1120">
        <f t="shared" si="187"/>
        <v>2967</v>
      </c>
      <c r="W55" s="897">
        <f t="shared" si="187"/>
        <v>614</v>
      </c>
      <c r="X55" s="897">
        <f t="shared" si="187"/>
        <v>543</v>
      </c>
      <c r="Y55" s="897">
        <f t="shared" si="187"/>
        <v>253</v>
      </c>
      <c r="Z55" s="897">
        <f t="shared" si="187"/>
        <v>633</v>
      </c>
      <c r="AA55" s="1120">
        <f t="shared" si="187"/>
        <v>2043</v>
      </c>
      <c r="AB55" s="897">
        <f t="shared" si="187"/>
        <v>678</v>
      </c>
      <c r="AC55" s="897">
        <f t="shared" si="187"/>
        <v>494</v>
      </c>
      <c r="AD55" s="897">
        <f t="shared" si="187"/>
        <v>687</v>
      </c>
      <c r="AE55" s="897">
        <f t="shared" si="187"/>
        <v>571</v>
      </c>
      <c r="AF55" s="1120">
        <f t="shared" si="187"/>
        <v>2430</v>
      </c>
      <c r="AG55" s="897">
        <f t="shared" si="187"/>
        <v>755</v>
      </c>
      <c r="AH55" s="897">
        <f t="shared" si="187"/>
        <v>537</v>
      </c>
      <c r="AI55" s="897">
        <f t="shared" si="187"/>
        <v>378</v>
      </c>
      <c r="AJ55" s="897">
        <f t="shared" si="187"/>
        <v>867</v>
      </c>
      <c r="AK55" s="1120">
        <f t="shared" si="187"/>
        <v>2537</v>
      </c>
      <c r="AL55" s="897">
        <f t="shared" si="187"/>
        <v>676</v>
      </c>
      <c r="AM55" s="897">
        <f t="shared" si="187"/>
        <v>-50</v>
      </c>
      <c r="AN55" s="897">
        <f>INDEX(MO_RIS_NI_NONGAAP_Diluted,0,COLUMN())</f>
        <v>798</v>
      </c>
      <c r="AO55" s="897">
        <f t="shared" si="187"/>
        <v>1262</v>
      </c>
      <c r="AP55" s="1120">
        <f t="shared" si="187"/>
        <v>2686</v>
      </c>
      <c r="AQ55" s="897">
        <f t="shared" si="187"/>
        <v>699</v>
      </c>
      <c r="AR55" s="897">
        <f t="shared" si="188" ref="AR55:AW55">INDEX(MO_RIS_NI_NONGAAP_Diluted,0,COLUMN())</f>
        <v>879</v>
      </c>
      <c r="AS55" s="897">
        <f t="shared" si="188"/>
        <v>655</v>
      </c>
      <c r="AT55" s="897">
        <f t="shared" si="188"/>
        <v>1289</v>
      </c>
      <c r="AU55" s="1120">
        <f t="shared" si="188"/>
        <v>3522</v>
      </c>
      <c r="AV55" s="897">
        <f t="shared" si="188"/>
        <v>1037</v>
      </c>
      <c r="AW55" s="897">
        <f t="shared" si="188"/>
        <v>625</v>
      </c>
      <c r="AX55" s="897">
        <f t="shared" si="189" ref="AX55:BB55">INDEX(MO_RIS_NI_NONGAAP_Diluted,0,COLUMN())</f>
        <v>526</v>
      </c>
      <c r="AY55" s="897">
        <f t="shared" si="189"/>
        <v>810</v>
      </c>
      <c r="AZ55" s="1120">
        <f t="shared" si="189"/>
        <v>2998</v>
      </c>
      <c r="BA55" s="897">
        <f t="shared" si="189"/>
        <v>970</v>
      </c>
      <c r="BB55" s="897">
        <f t="shared" si="189"/>
        <v>15</v>
      </c>
      <c r="BC55" s="897">
        <f t="shared" si="190" ref="BC55:BJ55">INDEX(MO_RIS_NI_NONGAAP_Diluted,0,COLUMN())</f>
        <v>454</v>
      </c>
      <c r="BD55" s="897">
        <f t="shared" si="190"/>
        <v>1633</v>
      </c>
      <c r="BE55" s="1120">
        <f t="shared" si="190"/>
        <v>3072</v>
      </c>
      <c r="BF55" s="897">
        <f t="shared" si="190"/>
        <v>1096</v>
      </c>
      <c r="BG55" s="897">
        <f t="shared" si="190"/>
        <v>585</v>
      </c>
      <c r="BH55" s="898">
        <f>INDEX(MO_RIS_NI_NONGAAP_Diluted,0,COLUMN())</f>
        <v>1218</v>
      </c>
      <c r="BI55" s="897">
        <f t="shared" si="190"/>
        <v>1429.0030970300686</v>
      </c>
      <c r="BJ55" s="1120">
        <f t="shared" si="190"/>
        <v>4328.0030970300613</v>
      </c>
      <c r="BK55" s="897">
        <f t="shared" si="191" ref="BK55:BR55">INDEX(MO_RIS_NI_NONGAAP_Diluted,0,COLUMN())</f>
        <v>1281.412677222412</v>
      </c>
      <c r="BL55" s="897">
        <f t="shared" si="191"/>
        <v>863.74699517122963</v>
      </c>
      <c r="BM55" s="897">
        <f t="shared" si="191"/>
        <v>1058.5874870455723</v>
      </c>
      <c r="BN55" s="897">
        <f t="shared" si="191"/>
        <v>1501.3357756470418</v>
      </c>
      <c r="BO55" s="1120">
        <f t="shared" si="191"/>
        <v>4705.0829350862423</v>
      </c>
      <c r="BP55" s="1120">
        <f t="shared" si="191"/>
        <v>5171.4451105356811</v>
      </c>
      <c r="BQ55" s="1120">
        <f t="shared" si="191"/>
        <v>5565.2033276620832</v>
      </c>
      <c r="BR55" s="1120">
        <f t="shared" si="191"/>
        <v>5068.3457754215715</v>
      </c>
      <c r="BS55" s="840"/>
    </row>
    <row r="56" spans="1:71" s="52" customFormat="1" ht="15">
      <c r="A56" s="241" t="str">
        <f>INDEX(MO_RIS_EPS_WAD_Adj,0,COLUMN())</f>
        <v>Core Income Per Share - WAD</v>
      </c>
      <c r="B56" s="242"/>
      <c r="C56" s="1118">
        <f t="shared" si="192" ref="C56:AQ56">INDEX(MO_RIS_EPS_WAD_Adj,0,COLUMN())</f>
        <v>6.2908899050298981</v>
      </c>
      <c r="D56" s="1118">
        <f t="shared" si="192"/>
        <v>6.2590673575129534</v>
      </c>
      <c r="E56" s="1118">
        <f t="shared" si="192"/>
        <v>3.2794292508917953</v>
      </c>
      <c r="F56" s="1118">
        <f t="shared" si="192"/>
        <v>6.2134427911749617</v>
      </c>
      <c r="G56" s="1118">
        <f t="shared" si="192"/>
        <v>9.4576542880042744</v>
      </c>
      <c r="H56" s="162">
        <f t="shared" si="192"/>
        <v>2.9469825155104341</v>
      </c>
      <c r="I56" s="162">
        <f t="shared" si="192"/>
        <v>1.9267378136717623</v>
      </c>
      <c r="J56" s="162">
        <f t="shared" si="192"/>
        <v>2.6143405134257893</v>
      </c>
      <c r="K56" s="162">
        <f t="shared" si="192"/>
        <v>3.0664652567975832</v>
      </c>
      <c r="L56" s="1118">
        <f t="shared" si="192"/>
        <v>10.551824817518249</v>
      </c>
      <c r="M56" s="162">
        <f t="shared" si="192"/>
        <v>2.5300462249614792</v>
      </c>
      <c r="N56" s="162">
        <f t="shared" si="192"/>
        <v>2.5157232704402515</v>
      </c>
      <c r="O56" s="162">
        <f t="shared" si="192"/>
        <v>2.932475884244373</v>
      </c>
      <c r="P56" s="162">
        <f t="shared" si="192"/>
        <v>2.8981206726013848</v>
      </c>
      <c r="Q56" s="1118">
        <f t="shared" si="192"/>
        <v>10.869703727301689</v>
      </c>
      <c r="R56" s="162">
        <f t="shared" si="192"/>
        <v>2.3262839879154082</v>
      </c>
      <c r="S56" s="162">
        <f t="shared" si="192"/>
        <v>2.1934604904632149</v>
      </c>
      <c r="T56" s="162">
        <f t="shared" si="192"/>
        <v>2.3982056590752241</v>
      </c>
      <c r="U56" s="162">
        <f t="shared" si="192"/>
        <v>3.202385128025254</v>
      </c>
      <c r="V56" s="1118">
        <f t="shared" si="192"/>
        <v>10.120274914089347</v>
      </c>
      <c r="W56" s="162">
        <f t="shared" si="192"/>
        <v>2.1600566572237963</v>
      </c>
      <c r="X56" s="162">
        <f t="shared" si="192"/>
        <v>1.9214285714285715</v>
      </c>
      <c r="Y56" s="162">
        <f t="shared" si="192"/>
        <v>0.9074475777295733</v>
      </c>
      <c r="Z56" s="162">
        <f t="shared" si="192"/>
        <v>2.2814653608995288</v>
      </c>
      <c r="AA56" s="1118">
        <f t="shared" si="192"/>
        <v>7.2792534099066755</v>
      </c>
      <c r="AB56" s="162">
        <f t="shared" si="192"/>
        <v>2.4571011317999272</v>
      </c>
      <c r="AC56" s="162">
        <f t="shared" si="192"/>
        <v>1.8074511250461083</v>
      </c>
      <c r="AD56" s="162">
        <f t="shared" si="192"/>
        <v>2.5409836065573774</v>
      </c>
      <c r="AE56" s="162">
        <f t="shared" si="192"/>
        <v>2.1278195488721803</v>
      </c>
      <c r="AF56" s="1118">
        <f t="shared" si="192"/>
        <v>8.9362490733876943</v>
      </c>
      <c r="AG56" s="162">
        <f t="shared" si="192"/>
        <v>2.8323262839879151</v>
      </c>
      <c r="AH56" s="162">
        <f t="shared" si="192"/>
        <v>2.0212362533181647</v>
      </c>
      <c r="AI56" s="162">
        <f t="shared" si="192"/>
        <v>1.4323911382734911</v>
      </c>
      <c r="AJ56" s="162">
        <f t="shared" si="192"/>
        <v>3.3204633204633205</v>
      </c>
      <c r="AK56" s="1118">
        <f t="shared" si="192"/>
        <v>9.5996950057186421</v>
      </c>
      <c r="AL56" s="162">
        <f t="shared" si="192"/>
        <v>2.6221180148495504</v>
      </c>
      <c r="AM56" s="162">
        <f t="shared" si="192"/>
        <v>-0.20270270270270271</v>
      </c>
      <c r="AN56" s="162">
        <f>INDEX(MO_RIS_EPS_WAD_Adj,0,COLUMN())</f>
        <v>3.1144317734958711</v>
      </c>
      <c r="AO56" s="162">
        <f t="shared" si="192"/>
        <v>4.9254317111459969</v>
      </c>
      <c r="AP56" s="1118">
        <f t="shared" si="192"/>
        <v>10.475255302435192</v>
      </c>
      <c r="AQ56" s="162">
        <f t="shared" si="192"/>
        <v>2.7312081857536405</v>
      </c>
      <c r="AR56" s="162">
        <f t="shared" si="193" ref="AR56:AW56">INDEX(MO_RIS_EPS_WAD_Adj,0,COLUMN())</f>
        <v>3.4452785460292374</v>
      </c>
      <c r="AS56" s="162">
        <f t="shared" si="193"/>
        <v>2.5989604158336665</v>
      </c>
      <c r="AT56" s="162">
        <f t="shared" si="193"/>
        <v>5.1907467532467528</v>
      </c>
      <c r="AU56" s="1118">
        <f t="shared" si="193"/>
        <v>13.935406698564593</v>
      </c>
      <c r="AV56" s="162">
        <f t="shared" si="193"/>
        <v>4.2265080016413625</v>
      </c>
      <c r="AW56" s="162">
        <f t="shared" si="193"/>
        <v>2.5756947324761512</v>
      </c>
      <c r="AX56" s="162">
        <f t="shared" si="194" ref="AX56:BB56">INDEX(MO_RIS_EPS_WAD_Adj,0,COLUMN())</f>
        <v>2.1941992433795714</v>
      </c>
      <c r="AY56" s="162">
        <f t="shared" si="194"/>
        <v>3.4066864155734233</v>
      </c>
      <c r="AZ56" s="1118">
        <f t="shared" si="194"/>
        <v>12.423863162286192</v>
      </c>
      <c r="BA56" s="162">
        <f t="shared" si="194"/>
        <v>4.1083617747440275</v>
      </c>
      <c r="BB56" s="162">
        <f t="shared" si="194"/>
        <v>0.0609490639965172</v>
      </c>
      <c r="BC56" s="162">
        <f t="shared" si="195" ref="BC56:BJ56">INDEX(MO_RIS_EPS_WAD_Adj,0,COLUMN())</f>
        <v>1.9515361315447859</v>
      </c>
      <c r="BD56" s="162">
        <f t="shared" si="195"/>
        <v>7.0142795326698399</v>
      </c>
      <c r="BE56" s="1118">
        <f t="shared" si="195"/>
        <v>13.135228251507321</v>
      </c>
      <c r="BF56" s="162">
        <f t="shared" si="195"/>
        <v>4.6896551724137927</v>
      </c>
      <c r="BG56" s="162">
        <f t="shared" si="195"/>
        <v>2.5053995680345573</v>
      </c>
      <c r="BH56" s="794">
        <f>INDEX(MO_RIS_EPS_WAD_Adj,0,COLUMN())</f>
        <v>5.238508239375542</v>
      </c>
      <c r="BI56" s="162">
        <f t="shared" ca="1" si="195"/>
        <v>6.220223723116062</v>
      </c>
      <c r="BJ56" s="1118">
        <f t="shared" ca="1" si="195"/>
        <v>18.655138977364366</v>
      </c>
      <c r="BK56" s="162">
        <f ca="1" t="shared" si="196" ref="BK56:BR56">INDEX(MO_RIS_EPS_WAD_Adj,0,COLUMN())</f>
        <v>5.589098779702586</v>
      </c>
      <c r="BL56" s="162">
        <f t="shared" ca="1" si="196"/>
        <v>3.7673790516475316</v>
      </c>
      <c r="BM56" s="162">
        <f t="shared" ca="1" si="196"/>
        <v>4.6172089110898602</v>
      </c>
      <c r="BN56" s="162">
        <f t="shared" ca="1" si="196"/>
        <v>6.5483306828064807</v>
      </c>
      <c r="BO56" s="1118">
        <f t="shared" ca="1" si="196"/>
        <v>20.522017425246403</v>
      </c>
      <c r="BP56" s="1118">
        <f t="shared" ca="1" si="196"/>
        <v>22.556135170478829</v>
      </c>
      <c r="BQ56" s="1118">
        <f t="shared" ca="1" si="196"/>
        <v>24.273578434431382</v>
      </c>
      <c r="BR56" s="1118">
        <f t="shared" ca="1" si="196"/>
        <v>22.106449929871207</v>
      </c>
      <c r="BS56" s="162"/>
    </row>
    <row r="57" spans="1:71" ht="15">
      <c r="A57" s="155"/>
      <c r="B57" s="243"/>
      <c r="C57" s="1121"/>
      <c r="D57" s="1121"/>
      <c r="E57" s="1121"/>
      <c r="F57" s="1121"/>
      <c r="G57" s="1121"/>
      <c r="H57" s="164"/>
      <c r="I57" s="164"/>
      <c r="J57" s="164"/>
      <c r="K57" s="164"/>
      <c r="L57" s="1121"/>
      <c r="M57" s="164"/>
      <c r="N57" s="164"/>
      <c r="O57" s="164"/>
      <c r="P57" s="164"/>
      <c r="Q57" s="1121"/>
      <c r="R57" s="164"/>
      <c r="S57" s="164"/>
      <c r="T57" s="164"/>
      <c r="U57" s="164"/>
      <c r="V57" s="1121"/>
      <c r="W57" s="164"/>
      <c r="X57" s="164"/>
      <c r="Y57" s="164"/>
      <c r="Z57" s="165"/>
      <c r="AA57" s="1114"/>
      <c r="AB57" s="164"/>
      <c r="AC57" s="164"/>
      <c r="AD57" s="164"/>
      <c r="AE57" s="165"/>
      <c r="AF57" s="1114"/>
      <c r="AG57" s="164"/>
      <c r="AH57" s="164"/>
      <c r="AI57" s="164"/>
      <c r="AJ57" s="165"/>
      <c r="AK57" s="1114"/>
      <c r="AL57" s="164"/>
      <c r="AM57" s="164"/>
      <c r="AN57" s="164"/>
      <c r="AO57" s="165"/>
      <c r="AP57" s="1114"/>
      <c r="AQ57" s="164"/>
      <c r="AR57" s="164"/>
      <c r="AS57" s="164"/>
      <c r="AT57" s="165"/>
      <c r="AU57" s="1114"/>
      <c r="AV57" s="164"/>
      <c r="AW57" s="164"/>
      <c r="AX57" s="164"/>
      <c r="AY57" s="165"/>
      <c r="AZ57" s="1114"/>
      <c r="BA57" s="164"/>
      <c r="BB57" s="164"/>
      <c r="BC57" s="164"/>
      <c r="BD57" s="165"/>
      <c r="BE57" s="1114"/>
      <c r="BF57" s="164"/>
      <c r="BG57" s="164"/>
      <c r="BH57" s="795"/>
      <c r="BI57" s="165"/>
      <c r="BJ57" s="1114"/>
      <c r="BK57" s="164"/>
      <c r="BL57" s="164"/>
      <c r="BM57" s="164"/>
      <c r="BN57" s="165"/>
      <c r="BO57" s="1114"/>
      <c r="BP57" s="1114"/>
      <c r="BQ57" s="1114"/>
      <c r="BR57" s="1114"/>
      <c r="BS57" s="155"/>
    </row>
    <row r="58" spans="1:71" ht="15" customHeight="1">
      <c r="A58" s="145" t="s">
        <v>162</v>
      </c>
      <c r="B58" s="838"/>
      <c r="C58" s="891"/>
      <c r="D58" s="891"/>
      <c r="E58" s="891"/>
      <c r="F58" s="891"/>
      <c r="G58" s="891"/>
      <c r="H58" s="891"/>
      <c r="I58" s="891"/>
      <c r="J58" s="891"/>
      <c r="K58" s="891"/>
      <c r="L58" s="891"/>
      <c r="M58" s="891"/>
      <c r="N58" s="891"/>
      <c r="O58" s="891"/>
      <c r="P58" s="891"/>
      <c r="Q58" s="891"/>
      <c r="R58" s="891"/>
      <c r="S58" s="891"/>
      <c r="T58" s="891"/>
      <c r="U58" s="891"/>
      <c r="V58" s="891"/>
      <c r="W58" s="891"/>
      <c r="X58" s="891"/>
      <c r="Y58" s="891"/>
      <c r="Z58" s="891"/>
      <c r="AA58" s="891"/>
      <c r="AB58" s="891"/>
      <c r="AC58" s="891"/>
      <c r="AD58" s="891"/>
      <c r="AE58" s="891"/>
      <c r="AF58" s="891"/>
      <c r="AG58" s="891"/>
      <c r="AH58" s="891"/>
      <c r="AI58" s="891"/>
      <c r="AJ58" s="891"/>
      <c r="AK58" s="891"/>
      <c r="AL58" s="891"/>
      <c r="AM58" s="891"/>
      <c r="AN58" s="891"/>
      <c r="AO58" s="891"/>
      <c r="AP58" s="891"/>
      <c r="AQ58" s="891"/>
      <c r="AR58" s="891"/>
      <c r="AS58" s="891"/>
      <c r="AT58" s="891"/>
      <c r="AU58" s="891"/>
      <c r="AV58" s="891"/>
      <c r="AW58" s="891"/>
      <c r="AX58" s="891"/>
      <c r="AY58" s="891"/>
      <c r="AZ58" s="891"/>
      <c r="BA58" s="891"/>
      <c r="BB58" s="891"/>
      <c r="BC58" s="891"/>
      <c r="BD58" s="891"/>
      <c r="BE58" s="891"/>
      <c r="BF58" s="891"/>
      <c r="BG58" s="891"/>
      <c r="BH58" s="892"/>
      <c r="BI58" s="891"/>
      <c r="BJ58" s="891"/>
      <c r="BK58" s="891"/>
      <c r="BL58" s="891"/>
      <c r="BM58" s="891"/>
      <c r="BN58" s="891"/>
      <c r="BO58" s="891"/>
      <c r="BP58" s="891"/>
      <c r="BQ58" s="891"/>
      <c r="BR58" s="891"/>
      <c r="BS58" s="839"/>
    </row>
    <row r="59" spans="1:71" s="187" customFormat="1" ht="15">
      <c r="A59" s="244" t="str">
        <f>INDEX(MO_DS_DPS,0,COLUMN())</f>
        <v>Dividend Per Common Share</v>
      </c>
      <c r="B59" s="245"/>
      <c r="C59" s="1122">
        <f t="shared" si="197" ref="C59:AQ59">INDEX(MO_DS_DPS,0,COLUMN())</f>
        <v>1.23</v>
      </c>
      <c r="D59" s="1122">
        <f t="shared" si="197"/>
        <v>1.41</v>
      </c>
      <c r="E59" s="1122">
        <f t="shared" si="197"/>
        <v>1.59</v>
      </c>
      <c r="F59" s="1122">
        <f t="shared" si="197"/>
        <v>1.79</v>
      </c>
      <c r="G59" s="1122">
        <f t="shared" si="197"/>
        <v>1.96</v>
      </c>
      <c r="H59" s="314">
        <f t="shared" si="197"/>
        <v>0.50</v>
      </c>
      <c r="I59" s="314">
        <f t="shared" si="197"/>
        <v>0.55000000000000004</v>
      </c>
      <c r="J59" s="314">
        <f t="shared" si="197"/>
        <v>0.55000000000000004</v>
      </c>
      <c r="K59" s="314">
        <f t="shared" si="197"/>
        <v>0.55000000000000004</v>
      </c>
      <c r="L59" s="1122">
        <f t="shared" si="197"/>
        <v>2.1500000000000004</v>
      </c>
      <c r="M59" s="314">
        <f t="shared" si="197"/>
        <v>0.55000000000000004</v>
      </c>
      <c r="N59" s="314">
        <f t="shared" si="197"/>
        <v>0.61</v>
      </c>
      <c r="O59" s="314">
        <f t="shared" si="197"/>
        <v>0.61</v>
      </c>
      <c r="P59" s="314">
        <f t="shared" si="197"/>
        <v>0.61</v>
      </c>
      <c r="Q59" s="1122">
        <f t="shared" si="197"/>
        <v>2.38</v>
      </c>
      <c r="R59" s="314">
        <f t="shared" si="197"/>
        <v>0.61</v>
      </c>
      <c r="S59" s="314">
        <f t="shared" si="197"/>
        <v>0.67</v>
      </c>
      <c r="T59" s="314">
        <f t="shared" si="197"/>
        <v>0.67</v>
      </c>
      <c r="U59" s="314">
        <f t="shared" si="197"/>
        <v>0.67</v>
      </c>
      <c r="V59" s="1122">
        <f t="shared" si="197"/>
        <v>2.62</v>
      </c>
      <c r="W59" s="314">
        <f t="shared" si="197"/>
        <v>0.67</v>
      </c>
      <c r="X59" s="314">
        <f t="shared" si="197"/>
        <v>0.72</v>
      </c>
      <c r="Y59" s="314">
        <f t="shared" si="197"/>
        <v>0.72</v>
      </c>
      <c r="Z59" s="314">
        <f t="shared" si="197"/>
        <v>0.72</v>
      </c>
      <c r="AA59" s="1107">
        <f t="shared" si="197"/>
        <v>2.83</v>
      </c>
      <c r="AB59" s="314">
        <f t="shared" si="197"/>
        <v>0.72</v>
      </c>
      <c r="AC59" s="314">
        <f t="shared" si="197"/>
        <v>0.77</v>
      </c>
      <c r="AD59" s="314">
        <f t="shared" si="197"/>
        <v>0.77</v>
      </c>
      <c r="AE59" s="314">
        <f t="shared" si="197"/>
        <v>0.77</v>
      </c>
      <c r="AF59" s="1107">
        <f t="shared" si="197"/>
        <v>3.03</v>
      </c>
      <c r="AG59" s="314">
        <f t="shared" si="197"/>
        <v>0.77</v>
      </c>
      <c r="AH59" s="314">
        <f t="shared" si="197"/>
        <v>0.82</v>
      </c>
      <c r="AI59" s="314">
        <f t="shared" si="197"/>
        <v>0.82</v>
      </c>
      <c r="AJ59" s="314">
        <f t="shared" si="197"/>
        <v>0.82</v>
      </c>
      <c r="AK59" s="1107">
        <f t="shared" si="197"/>
        <v>3.2299999999999995</v>
      </c>
      <c r="AL59" s="314">
        <f t="shared" si="197"/>
        <v>0.82</v>
      </c>
      <c r="AM59" s="314">
        <f t="shared" si="197"/>
        <v>0.85</v>
      </c>
      <c r="AN59" s="314">
        <f>INDEX(MO_DS_DPS,0,COLUMN())</f>
        <v>0.85</v>
      </c>
      <c r="AO59" s="314">
        <f t="shared" si="197"/>
        <v>0.85</v>
      </c>
      <c r="AP59" s="1107">
        <f t="shared" si="197"/>
        <v>3.37</v>
      </c>
      <c r="AQ59" s="314">
        <f t="shared" si="197"/>
        <v>0.85</v>
      </c>
      <c r="AR59" s="314">
        <f t="shared" si="198" ref="AR59:AW59">INDEX(MO_DS_DPS,0,COLUMN())</f>
        <v>0.88</v>
      </c>
      <c r="AS59" s="314">
        <f t="shared" si="198"/>
        <v>0.88</v>
      </c>
      <c r="AT59" s="314">
        <f t="shared" si="198"/>
        <v>0.88</v>
      </c>
      <c r="AU59" s="1107">
        <f t="shared" si="198"/>
        <v>3.49</v>
      </c>
      <c r="AV59" s="314">
        <f t="shared" si="198"/>
        <v>0.88</v>
      </c>
      <c r="AW59" s="314">
        <f t="shared" si="198"/>
        <v>0.93</v>
      </c>
      <c r="AX59" s="314">
        <f t="shared" si="199" ref="AX59:BB59">INDEX(MO_DS_DPS,0,COLUMN())</f>
        <v>0.93</v>
      </c>
      <c r="AY59" s="314">
        <f t="shared" si="199"/>
        <v>0.93</v>
      </c>
      <c r="AZ59" s="1107">
        <f t="shared" si="199"/>
        <v>3.6700000000000004</v>
      </c>
      <c r="BA59" s="314">
        <f t="shared" si="199"/>
        <v>0.93</v>
      </c>
      <c r="BB59" s="314">
        <f t="shared" si="199"/>
        <v>1</v>
      </c>
      <c r="BC59" s="314">
        <f t="shared" si="200" ref="BC59:BJ59">INDEX(MO_DS_DPS,0,COLUMN())</f>
        <v>1</v>
      </c>
      <c r="BD59" s="314">
        <f t="shared" si="200"/>
        <v>1</v>
      </c>
      <c r="BE59" s="1107">
        <f t="shared" si="200"/>
        <v>3.93</v>
      </c>
      <c r="BF59" s="314">
        <f t="shared" si="200"/>
        <v>1</v>
      </c>
      <c r="BG59" s="314">
        <f t="shared" si="200"/>
        <v>1.05</v>
      </c>
      <c r="BH59" s="796">
        <f>INDEX(MO_DS_DPS,0,COLUMN())</f>
        <v>1.05</v>
      </c>
      <c r="BI59" s="314">
        <f t="shared" si="200"/>
        <v>1.05</v>
      </c>
      <c r="BJ59" s="1107">
        <f t="shared" si="200"/>
        <v>4.1499999999999995</v>
      </c>
      <c r="BK59" s="314">
        <f t="shared" si="201" ref="BK59:BR59">INDEX(MO_DS_DPS,0,COLUMN())</f>
        <v>1.05</v>
      </c>
      <c r="BL59" s="314">
        <f t="shared" si="201"/>
        <v>1.05</v>
      </c>
      <c r="BM59" s="314">
        <f t="shared" si="201"/>
        <v>1.05</v>
      </c>
      <c r="BN59" s="314">
        <f t="shared" si="201"/>
        <v>1.05</v>
      </c>
      <c r="BO59" s="1107">
        <f t="shared" si="201"/>
        <v>4.20</v>
      </c>
      <c r="BP59" s="1107">
        <f t="shared" si="201"/>
        <v>4.20</v>
      </c>
      <c r="BQ59" s="1107">
        <f t="shared" si="201"/>
        <v>4.20</v>
      </c>
      <c r="BR59" s="1107">
        <f t="shared" si="201"/>
        <v>4.20</v>
      </c>
      <c r="BS59" s="274"/>
    </row>
    <row r="60" spans="1:71" ht="15">
      <c r="A60" s="246" t="str">
        <f>INDEX(MO_DS_PayoutRatio,0,COLUMN())</f>
        <v>Payout Ratio</v>
      </c>
      <c r="B60" s="243"/>
      <c r="C60" s="1123">
        <f t="shared" si="202" ref="C60:AQ60">INDEX(MO_DS_PayoutRatio,0,COLUMN())</f>
        <v>0.1928750347898692</v>
      </c>
      <c r="D60" s="1123">
        <f t="shared" si="202"/>
        <v>0.21110414052697615</v>
      </c>
      <c r="E60" s="1123">
        <f t="shared" si="202"/>
        <v>0.47029702970297027</v>
      </c>
      <c r="F60" s="1123">
        <f t="shared" si="202"/>
        <v>0.28280358598207012</v>
      </c>
      <c r="G60" s="1123">
        <f t="shared" si="202"/>
        <v>0.19994514536478333</v>
      </c>
      <c r="H60" s="165">
        <f t="shared" si="202"/>
        <v>0.16842105263157894</v>
      </c>
      <c r="I60" s="165">
        <f t="shared" si="202"/>
        <v>0.27876106194690264</v>
      </c>
      <c r="J60" s="165">
        <f t="shared" si="202"/>
        <v>0.20175438596491227</v>
      </c>
      <c r="K60" s="165">
        <f t="shared" si="202"/>
        <v>0.17475728155339806</v>
      </c>
      <c r="L60" s="1123">
        <f t="shared" si="202"/>
        <v>0.19890859481582537</v>
      </c>
      <c r="M60" s="165">
        <f t="shared" si="202"/>
        <v>0.21402660217654171</v>
      </c>
      <c r="N60" s="165">
        <f t="shared" si="202"/>
        <v>0.23821339950372208</v>
      </c>
      <c r="O60" s="165">
        <f t="shared" si="202"/>
        <v>0.20390455531453361</v>
      </c>
      <c r="P60" s="165">
        <f t="shared" si="202"/>
        <v>0.21187427240977882</v>
      </c>
      <c r="Q60" s="1123">
        <f t="shared" si="202"/>
        <v>0.21646162858816637</v>
      </c>
      <c r="R60" s="165">
        <f t="shared" si="202"/>
        <v>0.26239067055393583</v>
      </c>
      <c r="S60" s="165">
        <f t="shared" si="202"/>
        <v>0.29590288315629742</v>
      </c>
      <c r="T60" s="165">
        <f t="shared" si="202"/>
        <v>0.27323943661971833</v>
      </c>
      <c r="U60" s="165">
        <f t="shared" si="202"/>
        <v>0.20064034151547491</v>
      </c>
      <c r="V60" s="1123">
        <f t="shared" si="202"/>
        <v>0.25300802139037432</v>
      </c>
      <c r="W60" s="165">
        <f t="shared" si="202"/>
        <v>0.3099510603588907</v>
      </c>
      <c r="X60" s="165">
        <f t="shared" si="202"/>
        <v>0.33728813559322035</v>
      </c>
      <c r="Y60" s="165">
        <f t="shared" si="202"/>
        <v>0.6872852233676976</v>
      </c>
      <c r="Z60" s="165">
        <f t="shared" si="202"/>
        <v>0.35831809872029252</v>
      </c>
      <c r="AA60" s="1114">
        <f t="shared" si="202"/>
        <v>0.38461538461538464</v>
      </c>
      <c r="AB60" s="165">
        <f t="shared" si="202"/>
        <v>0.29668674698795183</v>
      </c>
      <c r="AC60" s="165">
        <f t="shared" si="202"/>
        <v>0.39807692307692305</v>
      </c>
      <c r="AD60" s="165">
        <f t="shared" si="202"/>
        <v>0.29403409090909088</v>
      </c>
      <c r="AE60" s="165">
        <f t="shared" si="202"/>
        <v>0.32954545454545453</v>
      </c>
      <c r="AF60" s="1114">
        <f t="shared" si="202"/>
        <v>0.32507987220447282</v>
      </c>
      <c r="AG60" s="165">
        <f t="shared" si="202"/>
        <v>0.25916561314791403</v>
      </c>
      <c r="AH60" s="165">
        <f t="shared" si="202"/>
        <v>0.38698010849909587</v>
      </c>
      <c r="AI60" s="165">
        <f t="shared" si="202"/>
        <v>0.54452926208651398</v>
      </c>
      <c r="AJ60" s="165">
        <f t="shared" si="202"/>
        <v>0.24364896073903003</v>
      </c>
      <c r="AK60" s="1114">
        <f t="shared" si="202"/>
        <v>0.32424126008451787</v>
      </c>
      <c r="AL60" s="165">
        <f t="shared" si="202"/>
        <v>0.35294117647058826</v>
      </c>
      <c r="AM60" s="165">
        <f t="shared" si="202"/>
        <v>-5.2682926829268295</v>
      </c>
      <c r="AN60" s="165">
        <f>INDEX(MO_DS_PayoutRatio,0,COLUMN())</f>
        <v>0.26431181485992694</v>
      </c>
      <c r="AO60" s="165">
        <f t="shared" si="202"/>
        <v>0.16730621642363777</v>
      </c>
      <c r="AP60" s="1114">
        <f t="shared" si="202"/>
        <v>0.32150858849887975</v>
      </c>
      <c r="AQ60" s="165">
        <f t="shared" si="202"/>
        <v>0.29395604395604397</v>
      </c>
      <c r="AR60" s="165">
        <f t="shared" si="203" ref="AR60:AW60">INDEX(MO_DS_PayoutRatio,0,COLUMN())</f>
        <v>0.23948220064724918</v>
      </c>
      <c r="AS60" s="165">
        <f t="shared" si="203"/>
        <v>0.33333333333333331</v>
      </c>
      <c r="AT60" s="165">
        <f t="shared" si="203"/>
        <v>0.1617535903250189</v>
      </c>
      <c r="AU60" s="1114">
        <f t="shared" si="203"/>
        <v>0.23906464924346629</v>
      </c>
      <c r="AV60" s="165">
        <f t="shared" si="203"/>
        <v>0.21068249258160238</v>
      </c>
      <c r="AW60" s="165">
        <f t="shared" si="203"/>
        <v>0.40767824497257771</v>
      </c>
      <c r="AX60" s="165">
        <f t="shared" si="204" ref="AX60:BB60">INDEX(MO_DS_PayoutRatio,0,COLUMN())</f>
        <v>0.48888888888888887</v>
      </c>
      <c r="AY60" s="165">
        <f t="shared" si="204"/>
        <v>0.26904176904176902</v>
      </c>
      <c r="AZ60" s="1114">
        <f t="shared" si="204"/>
        <v>0.31006378454996458</v>
      </c>
      <c r="BA60" s="165">
        <f t="shared" si="204"/>
        <v>0.22210743801652894</v>
      </c>
      <c r="BB60" s="165">
        <f t="shared" si="204"/>
        <v>-15.466666666666667</v>
      </c>
      <c r="BC60" s="165">
        <f t="shared" si="205" ref="BC60:BJ60">INDEX(MO_DS_PayoutRatio,0,COLUMN())</f>
        <v>0.57107231920199497</v>
      </c>
      <c r="BD60" s="165">
        <f t="shared" si="205"/>
        <v>0.14374225526641884</v>
      </c>
      <c r="BE60" s="1114">
        <f t="shared" si="205"/>
        <v>0.30582687773661166</v>
      </c>
      <c r="BF60" s="165">
        <f t="shared" si="205"/>
        <v>0.20538116591928252</v>
      </c>
      <c r="BG60" s="165">
        <f t="shared" si="205"/>
        <v>0.46124763705103972</v>
      </c>
      <c r="BH60" s="797">
        <f>INDEX(MO_DS_PayoutRatio,0,COLUMN())</f>
        <v>0.19040000000000001</v>
      </c>
      <c r="BI60" s="165">
        <f t="shared" ca="1" si="205"/>
        <v>0.16525079780449292</v>
      </c>
      <c r="BJ60" s="1114">
        <f t="shared" ca="1" si="205"/>
        <v>0.21892820505096858</v>
      </c>
      <c r="BK60" s="165">
        <f ca="1" t="shared" si="206" ref="BK60:BR60">INDEX(MO_DS_PayoutRatio,0,COLUMN())</f>
        <v>0.18408779013565643</v>
      </c>
      <c r="BL60" s="165">
        <f t="shared" ca="1" si="206"/>
        <v>0.27174873624264168</v>
      </c>
      <c r="BM60" s="165">
        <f t="shared" ca="1" si="206"/>
        <v>0.22251006745550209</v>
      </c>
      <c r="BN60" s="165">
        <f t="shared" ca="1" si="206"/>
        <v>0.15734378856889092</v>
      </c>
      <c r="BO60" s="1114">
        <f t="shared" ca="1" si="206"/>
        <v>0.20038324040495092</v>
      </c>
      <c r="BP60" s="1114">
        <f t="shared" ca="1" si="206"/>
        <v>0.18247430877472501</v>
      </c>
      <c r="BQ60" s="1114">
        <f t="shared" ca="1" si="206"/>
        <v>0.16980416316973743</v>
      </c>
      <c r="BR60" s="1114">
        <f t="shared" ca="1" si="206"/>
        <v>0.18628931816951164</v>
      </c>
      <c r="BS60" s="155"/>
    </row>
    <row r="61" spans="1:71" ht="15">
      <c r="A61" s="155"/>
      <c r="B61" s="243"/>
      <c r="C61" s="1121"/>
      <c r="D61" s="1121"/>
      <c r="E61" s="1121"/>
      <c r="F61" s="1121"/>
      <c r="G61" s="1121"/>
      <c r="H61" s="164"/>
      <c r="I61" s="164"/>
      <c r="J61" s="164"/>
      <c r="K61" s="164"/>
      <c r="L61" s="1121"/>
      <c r="M61" s="164"/>
      <c r="N61" s="164"/>
      <c r="O61" s="164"/>
      <c r="P61" s="164"/>
      <c r="Q61" s="1121"/>
      <c r="R61" s="164"/>
      <c r="S61" s="164"/>
      <c r="T61" s="164"/>
      <c r="U61" s="164"/>
      <c r="V61" s="1121"/>
      <c r="W61" s="164"/>
      <c r="X61" s="164"/>
      <c r="Y61" s="164"/>
      <c r="Z61" s="165"/>
      <c r="AA61" s="1114"/>
      <c r="AB61" s="164"/>
      <c r="AC61" s="164"/>
      <c r="AD61" s="164"/>
      <c r="AE61" s="165"/>
      <c r="AF61" s="1114"/>
      <c r="AG61" s="164"/>
      <c r="AH61" s="164"/>
      <c r="AI61" s="164"/>
      <c r="AJ61" s="165"/>
      <c r="AK61" s="1114"/>
      <c r="AL61" s="164"/>
      <c r="AM61" s="164"/>
      <c r="AN61" s="164"/>
      <c r="AO61" s="165"/>
      <c r="AP61" s="1114"/>
      <c r="AQ61" s="164"/>
      <c r="AR61" s="164"/>
      <c r="AS61" s="164"/>
      <c r="AT61" s="165"/>
      <c r="AU61" s="1114"/>
      <c r="AV61" s="164"/>
      <c r="AW61" s="164"/>
      <c r="AX61" s="164"/>
      <c r="AY61" s="165"/>
      <c r="AZ61" s="1114"/>
      <c r="BA61" s="164"/>
      <c r="BB61" s="164"/>
      <c r="BC61" s="164"/>
      <c r="BD61" s="165"/>
      <c r="BE61" s="1114"/>
      <c r="BF61" s="164"/>
      <c r="BG61" s="164"/>
      <c r="BH61" s="795"/>
      <c r="BI61" s="165"/>
      <c r="BJ61" s="1114"/>
      <c r="BK61" s="164"/>
      <c r="BL61" s="164"/>
      <c r="BM61" s="164"/>
      <c r="BN61" s="165"/>
      <c r="BO61" s="1114"/>
      <c r="BP61" s="1114"/>
      <c r="BQ61" s="1114"/>
      <c r="BR61" s="1114"/>
      <c r="BS61" s="155"/>
    </row>
    <row r="62" spans="1:71" ht="15">
      <c r="A62" s="145" t="s">
        <v>328</v>
      </c>
      <c r="B62" s="838"/>
      <c r="C62" s="891"/>
      <c r="D62" s="891"/>
      <c r="E62" s="891"/>
      <c r="F62" s="891"/>
      <c r="G62" s="891"/>
      <c r="H62" s="891"/>
      <c r="I62" s="891"/>
      <c r="J62" s="891"/>
      <c r="K62" s="891"/>
      <c r="L62" s="891"/>
      <c r="M62" s="891"/>
      <c r="N62" s="891"/>
      <c r="O62" s="891"/>
      <c r="P62" s="891"/>
      <c r="Q62" s="891"/>
      <c r="R62" s="891"/>
      <c r="S62" s="891"/>
      <c r="T62" s="891"/>
      <c r="U62" s="891"/>
      <c r="V62" s="891"/>
      <c r="W62" s="891"/>
      <c r="X62" s="891"/>
      <c r="Y62" s="891"/>
      <c r="Z62" s="891"/>
      <c r="AA62" s="891"/>
      <c r="AB62" s="891"/>
      <c r="AC62" s="891"/>
      <c r="AD62" s="891"/>
      <c r="AE62" s="891"/>
      <c r="AF62" s="891"/>
      <c r="AG62" s="891"/>
      <c r="AH62" s="891"/>
      <c r="AI62" s="891"/>
      <c r="AJ62" s="891"/>
      <c r="AK62" s="891"/>
      <c r="AL62" s="891"/>
      <c r="AM62" s="891"/>
      <c r="AN62" s="891"/>
      <c r="AO62" s="891"/>
      <c r="AP62" s="891"/>
      <c r="AQ62" s="891"/>
      <c r="AR62" s="891"/>
      <c r="AS62" s="891"/>
      <c r="AT62" s="891"/>
      <c r="AU62" s="891"/>
      <c r="AV62" s="891"/>
      <c r="AW62" s="891"/>
      <c r="AX62" s="891"/>
      <c r="AY62" s="891"/>
      <c r="AZ62" s="891"/>
      <c r="BA62" s="891"/>
      <c r="BB62" s="891"/>
      <c r="BC62" s="891"/>
      <c r="BD62" s="891"/>
      <c r="BE62" s="891"/>
      <c r="BF62" s="891"/>
      <c r="BG62" s="891"/>
      <c r="BH62" s="892"/>
      <c r="BI62" s="891"/>
      <c r="BJ62" s="891"/>
      <c r="BK62" s="891"/>
      <c r="BL62" s="891"/>
      <c r="BM62" s="891"/>
      <c r="BN62" s="891"/>
      <c r="BO62" s="891"/>
      <c r="BP62" s="891"/>
      <c r="BQ62" s="891"/>
      <c r="BR62" s="891"/>
      <c r="BS62" s="839"/>
    </row>
    <row r="63" spans="1:71" s="75" customFormat="1" ht="15" customHeight="1">
      <c r="A63" s="247" t="s">
        <v>178</v>
      </c>
      <c r="B63" s="248"/>
      <c r="C63" s="1124">
        <f t="shared" si="207" ref="C63:AQ63">INDEX(MO_BSS_ROA,0,COLUMN())</f>
        <v>0</v>
      </c>
      <c r="D63" s="1124">
        <f t="shared" si="207"/>
        <v>0.029626050107798677</v>
      </c>
      <c r="E63" s="1124">
        <f t="shared" si="207"/>
        <v>0.013451869610095561</v>
      </c>
      <c r="F63" s="1124">
        <f t="shared" si="207"/>
        <v>0.023425754010490997</v>
      </c>
      <c r="G63" s="1124">
        <f t="shared" si="207"/>
        <v>0.03493173652694611</v>
      </c>
      <c r="H63" s="128">
        <f t="shared" si="207"/>
        <v>0.040761116400945971</v>
      </c>
      <c r="I63" s="128">
        <f t="shared" si="207"/>
        <v>0.026030300313006287</v>
      </c>
      <c r="J63" s="128">
        <f t="shared" si="207"/>
        <v>0.034569426412130122</v>
      </c>
      <c r="K63" s="128">
        <f t="shared" si="207"/>
        <v>0.039368141073971685</v>
      </c>
      <c r="L63" s="1124">
        <f t="shared" si="207"/>
        <v>0.035216207334579919</v>
      </c>
      <c r="M63" s="128">
        <f t="shared" si="207"/>
        <v>0.032599122748756558</v>
      </c>
      <c r="N63" s="128">
        <f t="shared" si="207"/>
        <v>0.031639618730710209</v>
      </c>
      <c r="O63" s="128">
        <f t="shared" si="207"/>
        <v>0.035901879362516272</v>
      </c>
      <c r="P63" s="128">
        <f t="shared" si="207"/>
        <v>0.033693427688757771</v>
      </c>
      <c r="Q63" s="1124">
        <f t="shared" si="207"/>
        <v>0.033488514440082634</v>
      </c>
      <c r="R63" s="128">
        <f t="shared" si="207"/>
        <v>0.027335997731907848</v>
      </c>
      <c r="S63" s="128">
        <f t="shared" si="207"/>
        <v>0.025969092780767922</v>
      </c>
      <c r="T63" s="128">
        <f t="shared" si="207"/>
        <v>0.027525448805906502</v>
      </c>
      <c r="U63" s="128">
        <f t="shared" si="207"/>
        <v>0.036719634685986532</v>
      </c>
      <c r="V63" s="1124">
        <f t="shared" si="207"/>
        <v>0.029487012705433416</v>
      </c>
      <c r="W63" s="128">
        <f t="shared" si="207"/>
        <v>0.024676591565435238</v>
      </c>
      <c r="X63" s="128">
        <f t="shared" si="207"/>
        <v>0.023210489826481783</v>
      </c>
      <c r="Y63" s="128">
        <f t="shared" si="207"/>
        <v>0.011155772244325225</v>
      </c>
      <c r="Z63" s="128">
        <f t="shared" si="207"/>
        <v>0.020887639137590699</v>
      </c>
      <c r="AA63" s="1124">
        <f t="shared" si="207"/>
        <v>0.019933431519238057</v>
      </c>
      <c r="AB63" s="128">
        <f t="shared" si="207"/>
        <v>0.025998280440520456</v>
      </c>
      <c r="AC63" s="128">
        <f t="shared" si="207"/>
        <v>0.020132474439686347</v>
      </c>
      <c r="AD63" s="128">
        <f t="shared" si="207"/>
        <v>0.026867425108202656</v>
      </c>
      <c r="AE63" s="128">
        <f t="shared" si="207"/>
        <v>0.02342898955032054</v>
      </c>
      <c r="AF63" s="1124">
        <f t="shared" si="207"/>
        <v>0.024109145877663416</v>
      </c>
      <c r="AG63" s="128">
        <f t="shared" si="207"/>
        <v>0.030338184353476651</v>
      </c>
      <c r="AH63" s="128">
        <f t="shared" si="207"/>
        <v>0.020555068836491143</v>
      </c>
      <c r="AI63" s="128">
        <f t="shared" si="207"/>
        <v>0.014251299352494556</v>
      </c>
      <c r="AJ63" s="128">
        <f t="shared" si="207"/>
        <v>0.031182738205281446</v>
      </c>
      <c r="AK63" s="1124">
        <f t="shared" si="207"/>
        <v>0.024083387921112333</v>
      </c>
      <c r="AL63" s="128">
        <f t="shared" si="207"/>
        <v>0.021799041010365578</v>
      </c>
      <c r="AM63" s="128">
        <f t="shared" si="207"/>
        <v>-0.0014804406180380827</v>
      </c>
      <c r="AN63" s="128">
        <f>INDEX(MO_BSS_ROA,0,COLUMN())</f>
        <v>0.028435817133941114</v>
      </c>
      <c r="AO63" s="128">
        <f t="shared" si="207"/>
        <v>0.04446681003520063</v>
      </c>
      <c r="AP63" s="1124">
        <f t="shared" si="207"/>
        <v>0.023655446671012624</v>
      </c>
      <c r="AQ63" s="128">
        <f t="shared" si="207"/>
        <v>0.025256586463792745</v>
      </c>
      <c r="AR63" s="128">
        <f t="shared" si="208" ref="AR63:AW63">INDEX(MO_BSS_ROA,0,COLUMN())</f>
        <v>0.03140479843563998</v>
      </c>
      <c r="AS63" s="128">
        <f t="shared" si="208"/>
        <v>0.021679463430906966</v>
      </c>
      <c r="AT63" s="128">
        <f t="shared" si="208"/>
        <v>0.04352792774992266</v>
      </c>
      <c r="AU63" s="1124">
        <f t="shared" si="208"/>
        <v>0.030560240244683696</v>
      </c>
      <c r="AV63" s="128">
        <f t="shared" si="208"/>
        <v>0.034302693628045632</v>
      </c>
      <c r="AW63" s="128">
        <f t="shared" si="208"/>
        <v>0.01865822194167837</v>
      </c>
      <c r="AX63" s="128">
        <f t="shared" si="209" ref="AX63:BB63">INDEX(MO_BSS_ROA,0,COLUMN())</f>
        <v>0.015463795230541885</v>
      </c>
      <c r="AY63" s="128">
        <f t="shared" si="209"/>
        <v>0.028078079951130097</v>
      </c>
      <c r="AZ63" s="1124">
        <f t="shared" si="209"/>
        <v>0.024091695280179074</v>
      </c>
      <c r="BA63" s="128">
        <f t="shared" si="209"/>
        <v>0.033543765110098114</v>
      </c>
      <c r="BB63" s="128">
        <f t="shared" si="209"/>
        <v>-0.00050362946669318964</v>
      </c>
      <c r="BC63" s="128">
        <f t="shared" si="210" ref="BC63:BJ63">INDEX(MO_BSS_ROA,0,COLUMN())</f>
        <v>0.013150468166190508</v>
      </c>
      <c r="BD63" s="128">
        <f t="shared" si="210"/>
        <v>0.051773268046162231</v>
      </c>
      <c r="BE63" s="1124">
        <f t="shared" si="210"/>
        <v>0.024659304589338276</v>
      </c>
      <c r="BF63" s="128">
        <f t="shared" si="210"/>
        <v>0.035396352585801177</v>
      </c>
      <c r="BG63" s="128">
        <f t="shared" si="210"/>
        <v>0.016575139730266811</v>
      </c>
      <c r="BH63" s="798">
        <f>INDEX(MO_BSS_ROA,0,COLUMN())</f>
        <v>0.037686771934813339</v>
      </c>
      <c r="BI63" s="128">
        <f t="shared" ca="1" si="210"/>
        <v>0.042261575087278715</v>
      </c>
      <c r="BJ63" s="1124">
        <f t="shared" ca="1" si="210"/>
        <v>0.033139746812137237</v>
      </c>
      <c r="BK63" s="128">
        <f ca="1" t="shared" si="211" ref="BK63:BR63">INDEX(MO_BSS_ROA,0,COLUMN())</f>
        <v>0.03799324652529238</v>
      </c>
      <c r="BL63" s="128">
        <f t="shared" ca="1" si="211"/>
        <v>0.025044854960611533</v>
      </c>
      <c r="BM63" s="128">
        <f t="shared" ca="1" si="211"/>
        <v>0.029803248504996601</v>
      </c>
      <c r="BN63" s="128">
        <f t="shared" ca="1" si="211"/>
        <v>0.041460583171724685</v>
      </c>
      <c r="BO63" s="1124">
        <f t="shared" ca="1" si="211"/>
        <v>0.033609841378452958</v>
      </c>
      <c r="BP63" s="1124">
        <f t="shared" ca="1" si="211"/>
        <v>0.034498746564889063</v>
      </c>
      <c r="BQ63" s="1124">
        <f t="shared" ca="1" si="211"/>
        <v>0.034613014384974786</v>
      </c>
      <c r="BR63" s="1124">
        <f t="shared" ca="1" si="211"/>
        <v>0.029555981131271211</v>
      </c>
      <c r="BS63" s="275"/>
    </row>
    <row r="64" spans="1:71" s="75" customFormat="1" ht="15" customHeight="1">
      <c r="A64" s="247" t="s">
        <v>179</v>
      </c>
      <c r="B64" s="248"/>
      <c r="C64" s="1124">
        <f t="shared" si="212" ref="C64:AQ64">INDEX(MO_BSS_ROE,0,COLUMN())</f>
        <v>0</v>
      </c>
      <c r="D64" s="1124">
        <f t="shared" si="212"/>
        <v>0.12088807993477807</v>
      </c>
      <c r="E64" s="1124">
        <f t="shared" si="212"/>
        <v>0.056691524336460589</v>
      </c>
      <c r="F64" s="1124">
        <f t="shared" si="212"/>
        <v>0.098392205605228336</v>
      </c>
      <c r="G64" s="1124">
        <f t="shared" si="212"/>
        <v>0.14525607059620327</v>
      </c>
      <c r="H64" s="128">
        <f t="shared" si="212"/>
        <v>0.16890403345975952</v>
      </c>
      <c r="I64" s="128">
        <f t="shared" si="212"/>
        <v>0.10681476656849306</v>
      </c>
      <c r="J64" s="128">
        <f t="shared" si="212"/>
        <v>0.14230274986982941</v>
      </c>
      <c r="K64" s="128">
        <f t="shared" si="212"/>
        <v>0.16294487483215747</v>
      </c>
      <c r="L64" s="1124">
        <f t="shared" si="212"/>
        <v>0.14558440320325408</v>
      </c>
      <c r="M64" s="128">
        <f t="shared" si="212"/>
        <v>0.13501376504818324</v>
      </c>
      <c r="N64" s="128">
        <f t="shared" si="212"/>
        <v>0.13203958270123928</v>
      </c>
      <c r="O64" s="128">
        <f t="shared" si="212"/>
        <v>0.15192651836228332</v>
      </c>
      <c r="P64" s="128">
        <f t="shared" si="212"/>
        <v>0.14309962547226732</v>
      </c>
      <c r="Q64" s="1124">
        <f t="shared" si="212"/>
        <v>0.14056902869848067</v>
      </c>
      <c r="R64" s="128">
        <f t="shared" si="212"/>
        <v>0.1155295587922671</v>
      </c>
      <c r="S64" s="128">
        <f t="shared" si="212"/>
        <v>0.10844858905415369</v>
      </c>
      <c r="T64" s="128">
        <f t="shared" si="212"/>
        <v>0.11492951467423369</v>
      </c>
      <c r="U64" s="128">
        <f t="shared" si="212"/>
        <v>0.15642595194219927</v>
      </c>
      <c r="V64" s="1124">
        <f t="shared" si="212"/>
        <v>0.12452346468228205</v>
      </c>
      <c r="W64" s="128">
        <f t="shared" si="212"/>
        <v>0.10616682918265137</v>
      </c>
      <c r="X64" s="128">
        <f t="shared" si="212"/>
        <v>0.099704382409248629</v>
      </c>
      <c r="Y64" s="128">
        <f t="shared" si="212"/>
        <v>0.048512936783142176</v>
      </c>
      <c r="Z64" s="128">
        <f t="shared" si="212"/>
        <v>0.091434959383103115</v>
      </c>
      <c r="AA64" s="1124">
        <f t="shared" si="212"/>
        <v>0.086365944482058227</v>
      </c>
      <c r="AB64" s="128">
        <f t="shared" si="212"/>
        <v>0.11530245724208472</v>
      </c>
      <c r="AC64" s="128">
        <f t="shared" si="212"/>
        <v>0.091474684694280328</v>
      </c>
      <c r="AD64" s="128">
        <f t="shared" si="212"/>
        <v>0.12390672662692676</v>
      </c>
      <c r="AE64" s="128">
        <f t="shared" si="212"/>
        <v>0.1077705623970658</v>
      </c>
      <c r="AF64" s="1124">
        <f t="shared" si="212"/>
        <v>0.10916668846512681</v>
      </c>
      <c r="AG64" s="128">
        <f t="shared" si="212"/>
        <v>0.13583200425305689</v>
      </c>
      <c r="AH64" s="128">
        <f t="shared" si="212"/>
        <v>0.08932872568320907</v>
      </c>
      <c r="AI64" s="128">
        <f t="shared" si="212"/>
        <v>0.061230944965782901</v>
      </c>
      <c r="AJ64" s="128">
        <f t="shared" si="212"/>
        <v>0.13329819086576983</v>
      </c>
      <c r="AK64" s="1124">
        <f t="shared" si="212"/>
        <v>0.10487087546835341</v>
      </c>
      <c r="AL64" s="128">
        <f t="shared" si="212"/>
        <v>0.093576433537721576</v>
      </c>
      <c r="AM64" s="128">
        <f t="shared" si="212"/>
        <v>-0.0063244711642510172</v>
      </c>
      <c r="AN64" s="128">
        <f>INDEX(MO_BSS_ROE,0,COLUMN())</f>
        <v>0.11922003846959568</v>
      </c>
      <c r="AO64" s="128">
        <f t="shared" si="212"/>
        <v>0.18172388827496855</v>
      </c>
      <c r="AP64" s="1124">
        <f t="shared" si="212"/>
        <v>0.099082433032410835</v>
      </c>
      <c r="AQ64" s="128">
        <f t="shared" si="212"/>
        <v>0.10274732710786304</v>
      </c>
      <c r="AR64" s="128">
        <f t="shared" si="213" ref="AR64:AW64">INDEX(MO_BSS_ROE,0,COLUMN())</f>
        <v>0.12949714630167394</v>
      </c>
      <c r="AS64" s="128">
        <f t="shared" si="213"/>
        <v>0.09045900006789942</v>
      </c>
      <c r="AT64" s="128">
        <f t="shared" si="213"/>
        <v>0.1830114082966536</v>
      </c>
      <c r="AU64" s="1124">
        <f t="shared" si="213"/>
        <v>0.12622667324133427</v>
      </c>
      <c r="AV64" s="128">
        <f t="shared" si="213"/>
        <v>0.15069156039055703</v>
      </c>
      <c r="AW64" s="128">
        <f t="shared" si="213"/>
        <v>0.090652246214688106</v>
      </c>
      <c r="AX64" s="128">
        <f t="shared" si="214" ref="AX64:BB64">INDEX(MO_BSS_ROE,0,COLUMN())</f>
        <v>0.083465455210683576</v>
      </c>
      <c r="AY64" s="128">
        <f t="shared" si="214"/>
        <v>0.15576407281817056</v>
      </c>
      <c r="AZ64" s="1124">
        <f t="shared" si="214"/>
        <v>0.11881304838410887</v>
      </c>
      <c r="BA64" s="128">
        <f t="shared" si="214"/>
        <v>0.17599649322055846</v>
      </c>
      <c r="BB64" s="128">
        <f t="shared" si="214"/>
        <v>-0.0026795303700908619</v>
      </c>
      <c r="BC64" s="128">
        <f t="shared" si="215" ref="BC64:BJ64">INDEX(MO_BSS_ROE,0,COLUMN())</f>
        <v>0.076060713457962767</v>
      </c>
      <c r="BD64" s="128">
        <f t="shared" si="215"/>
        <v>0.2852343956532391</v>
      </c>
      <c r="BE64" s="1124">
        <f t="shared" si="215"/>
        <v>0.13329921160856995</v>
      </c>
      <c r="BF64" s="128">
        <f t="shared" si="215"/>
        <v>0.17958494661936586</v>
      </c>
      <c r="BG64" s="128">
        <f t="shared" si="215"/>
        <v>0.085302957807167568</v>
      </c>
      <c r="BH64" s="798">
        <f>INDEX(MO_BSS_ROE,0,COLUMN())</f>
        <v>0.18923193755304699</v>
      </c>
      <c r="BI64" s="128">
        <f t="shared" ca="1" si="215"/>
        <v>0.20274743642752047</v>
      </c>
      <c r="BJ64" s="1124">
        <f t="shared" ca="1" si="215"/>
        <v>0.164995776316156</v>
      </c>
      <c r="BK64" s="128">
        <f ca="1" t="shared" si="216" ref="BK64:BR64">INDEX(MO_BSS_ROE,0,COLUMN())</f>
        <v>0.1783699784875081</v>
      </c>
      <c r="BL64" s="128">
        <f t="shared" ca="1" si="216"/>
        <v>0.11613220266819252</v>
      </c>
      <c r="BM64" s="128">
        <f t="shared" ca="1" si="216"/>
        <v>0.13693158782490042</v>
      </c>
      <c r="BN64" s="128">
        <f t="shared" ca="1" si="216"/>
        <v>0.18723890514045921</v>
      </c>
      <c r="BO64" s="1124">
        <f t="shared" ca="1" si="216"/>
        <v>0.15478924425760759</v>
      </c>
      <c r="BP64" s="1124">
        <f t="shared" ca="1" si="216"/>
        <v>0.14975533473192532</v>
      </c>
      <c r="BQ64" s="1124">
        <f t="shared" ca="1" si="216"/>
        <v>0.14256456440874721</v>
      </c>
      <c r="BR64" s="1124">
        <f t="shared" ca="1" si="216"/>
        <v>0.11678058517898385</v>
      </c>
      <c r="BS64" s="275"/>
    </row>
    <row r="65" spans="1:71" s="75" customFormat="1" ht="15" customHeight="1">
      <c r="A65" s="247" t="s">
        <v>180</v>
      </c>
      <c r="B65" s="248"/>
      <c r="C65" s="1124">
        <f t="shared" si="217" ref="C65:AQ65">INDEX(MO_BSS_ROAE,0,COLUMN())</f>
        <v>0</v>
      </c>
      <c r="D65" s="1124">
        <f t="shared" si="217"/>
        <v>0.13006139975113723</v>
      </c>
      <c r="E65" s="1124">
        <f t="shared" si="217"/>
        <v>0.062630110289232405</v>
      </c>
      <c r="F65" s="1124">
        <f t="shared" si="217"/>
        <v>0.1117791746378792</v>
      </c>
      <c r="G65" s="1124">
        <f t="shared" si="217"/>
        <v>0.15929744844459978</v>
      </c>
      <c r="H65" s="128">
        <f t="shared" si="217"/>
        <v>0.17962809907625218</v>
      </c>
      <c r="I65" s="128">
        <f t="shared" si="217"/>
        <v>0.11515288573215401</v>
      </c>
      <c r="J65" s="128">
        <f t="shared" si="217"/>
        <v>0.15421134848762807</v>
      </c>
      <c r="K65" s="128">
        <f t="shared" si="217"/>
        <v>0.17660665313128598</v>
      </c>
      <c r="L65" s="1124">
        <f t="shared" si="217"/>
        <v>0.15664669225443015</v>
      </c>
      <c r="M65" s="128">
        <f t="shared" si="217"/>
        <v>0.1469706818187351</v>
      </c>
      <c r="N65" s="128">
        <f t="shared" si="217"/>
        <v>0.1420536577404492</v>
      </c>
      <c r="O65" s="128">
        <f t="shared" si="217"/>
        <v>0.16127038103380192</v>
      </c>
      <c r="P65" s="128">
        <f t="shared" si="217"/>
        <v>0.15170891784342871</v>
      </c>
      <c r="Q65" s="1124">
        <f t="shared" si="217"/>
        <v>0.15064334504121291</v>
      </c>
      <c r="R65" s="128">
        <f t="shared" si="217"/>
        <v>0.12340446028611338</v>
      </c>
      <c r="S65" s="128">
        <f t="shared" si="217"/>
        <v>0.1183780043092236</v>
      </c>
      <c r="T65" s="128">
        <f t="shared" si="217"/>
        <v>0.12620088990422021</v>
      </c>
      <c r="U65" s="128">
        <f t="shared" si="217"/>
        <v>0.16611173702825732</v>
      </c>
      <c r="V65" s="1124">
        <f t="shared" si="217"/>
        <v>0.13360721621863</v>
      </c>
      <c r="W65" s="128">
        <f t="shared" si="217"/>
        <v>0.10980810757754221</v>
      </c>
      <c r="X65" s="128">
        <f t="shared" si="217"/>
        <v>0.1037658298905339</v>
      </c>
      <c r="Y65" s="128">
        <f t="shared" si="217"/>
        <v>0.050686461181658107</v>
      </c>
      <c r="Z65" s="128">
        <f t="shared" si="217"/>
        <v>0.09570519033663033</v>
      </c>
      <c r="AA65" s="1124">
        <f t="shared" si="217"/>
        <v>0.089948349110652775</v>
      </c>
      <c r="AB65" s="128">
        <f t="shared" si="217"/>
        <v>0.11845986534208243</v>
      </c>
      <c r="AC65" s="128">
        <f t="shared" si="217"/>
        <v>0.091516828753835405</v>
      </c>
      <c r="AD65" s="128">
        <f t="shared" si="217"/>
        <v>0.12238918006489065</v>
      </c>
      <c r="AE65" s="128">
        <f t="shared" si="217"/>
        <v>0.1064561154975938</v>
      </c>
      <c r="AF65" s="1124">
        <f t="shared" si="217"/>
        <v>0.10971484655695182</v>
      </c>
      <c r="AG65" s="128">
        <f t="shared" si="217"/>
        <v>0.13845250083920779</v>
      </c>
      <c r="AH65" s="128">
        <f t="shared" si="217"/>
        <v>0.094838247095815065</v>
      </c>
      <c r="AI65" s="128">
        <f t="shared" si="217"/>
        <v>0.066780228825111171</v>
      </c>
      <c r="AJ65" s="128">
        <f t="shared" si="217"/>
        <v>0.14635829050331065</v>
      </c>
      <c r="AK65" s="1124">
        <f t="shared" si="217"/>
        <v>0.11149375069603283</v>
      </c>
      <c r="AL65" s="128">
        <f t="shared" si="217"/>
        <v>0.10158234667955357</v>
      </c>
      <c r="AM65" s="128">
        <f t="shared" si="217"/>
        <v>-0.0070597268131303579</v>
      </c>
      <c r="AN65" s="128">
        <f>INDEX(MO_BSS_ROAE,0,COLUMN())</f>
        <v>0.13800448615849256</v>
      </c>
      <c r="AO65" s="128">
        <f t="shared" si="217"/>
        <v>0.21087274888306395</v>
      </c>
      <c r="AP65" s="1124">
        <f t="shared" si="217"/>
        <v>0.11197805598066517</v>
      </c>
      <c r="AQ65" s="128">
        <f t="shared" si="217"/>
        <v>0.11674586071074732</v>
      </c>
      <c r="AR65" s="128">
        <f t="shared" si="218" ref="AR65:AW65">INDEX(MO_BSS_ROAE,0,COLUMN())</f>
        <v>0.14476383862589551</v>
      </c>
      <c r="AS65" s="128">
        <f t="shared" si="218"/>
        <v>0.10085027033028407</v>
      </c>
      <c r="AT65" s="128">
        <f t="shared" si="218"/>
        <v>0.20092478785967324</v>
      </c>
      <c r="AU65" s="1124">
        <f t="shared" si="218"/>
        <v>0.14117272395392372</v>
      </c>
      <c r="AV65" s="128">
        <f t="shared" si="218"/>
        <v>0.15358155098575368</v>
      </c>
      <c r="AW65" s="128">
        <f t="shared" si="218"/>
        <v>0.081884414011009515</v>
      </c>
      <c r="AX65" s="128">
        <f t="shared" si="219" ref="AX65:BB65">INDEX(MO_BSS_ROAE,0,COLUMN())</f>
        <v>0.067512189187034041</v>
      </c>
      <c r="AY65" s="128">
        <f t="shared" si="219"/>
        <v>0.1226042224611959</v>
      </c>
      <c r="AZ65" s="1124">
        <f t="shared" si="219"/>
        <v>0.10629722542394587</v>
      </c>
      <c r="BA65" s="128">
        <f t="shared" si="219"/>
        <v>0.14709347588061664</v>
      </c>
      <c r="BB65" s="128">
        <f t="shared" si="219"/>
        <v>-0.0022554342061005478</v>
      </c>
      <c r="BC65" s="128">
        <f t="shared" si="220" ref="BC65:BJ65">INDEX(MO_BSS_ROAE,0,COLUMN())</f>
        <v>0.060176791037105562</v>
      </c>
      <c r="BD65" s="128">
        <f t="shared" si="220"/>
        <v>0.2350119119615881</v>
      </c>
      <c r="BE65" s="1124">
        <f t="shared" si="220"/>
        <v>0.11053364407347566</v>
      </c>
      <c r="BF65" s="128">
        <f t="shared" si="220"/>
        <v>0.15792458558292374</v>
      </c>
      <c r="BG65" s="128">
        <f t="shared" si="220"/>
        <v>0.073900292583538793</v>
      </c>
      <c r="BH65" s="798">
        <f>INDEX(MO_BSS_ROAE,0,COLUMN())</f>
        <v>0.16959079501940563</v>
      </c>
      <c r="BI65" s="128">
        <f t="shared" ca="1" si="220"/>
        <v>0.18867428175408013</v>
      </c>
      <c r="BJ65" s="1124">
        <f t="shared" ca="1" si="220"/>
        <v>0.14804285947081117</v>
      </c>
      <c r="BK65" s="128">
        <f ca="1" t="shared" si="221" ref="BK65:BR65">INDEX(MO_BSS_ROAE,0,COLUMN())</f>
        <v>0.16643519267417956</v>
      </c>
      <c r="BL65" s="128">
        <f t="shared" ca="1" si="221"/>
        <v>0.10856668941851252</v>
      </c>
      <c r="BM65" s="128">
        <f t="shared" ca="1" si="221"/>
        <v>0.12821098351512239</v>
      </c>
      <c r="BN65" s="128">
        <f t="shared" ca="1" si="221"/>
        <v>0.17568451019866632</v>
      </c>
      <c r="BO65" s="1124">
        <f t="shared" ca="1" si="221"/>
        <v>0.14484185015237627</v>
      </c>
      <c r="BP65" s="1124">
        <f t="shared" ca="1" si="221"/>
        <v>0.14121123393658858</v>
      </c>
      <c r="BQ65" s="1124">
        <f t="shared" ca="1" si="221"/>
        <v>0.13531171897418981</v>
      </c>
      <c r="BR65" s="1124">
        <f t="shared" ca="1" si="221"/>
        <v>0.11141384171997337</v>
      </c>
      <c r="BS65" s="275"/>
    </row>
    <row r="66" spans="1:71" s="75" customFormat="1" ht="15" customHeight="1">
      <c r="A66" s="247" t="s">
        <v>181</v>
      </c>
      <c r="B66" s="248"/>
      <c r="C66" s="1124">
        <f t="shared" si="222" ref="C66:AQ66">INDEX(MO_BSS_ROTE,0,COLUMN())</f>
        <v>0</v>
      </c>
      <c r="D66" s="1124">
        <f t="shared" si="222"/>
        <v>0.15429663867579799</v>
      </c>
      <c r="E66" s="1124">
        <f t="shared" si="222"/>
        <v>0.075228772079165784</v>
      </c>
      <c r="F66" s="1124">
        <f t="shared" si="222"/>
        <v>0.13461327482172245</v>
      </c>
      <c r="G66" s="1124">
        <f t="shared" si="222"/>
        <v>0.19115526777990405</v>
      </c>
      <c r="H66" s="128">
        <f t="shared" si="222"/>
        <v>0.21541950113378686</v>
      </c>
      <c r="I66" s="128">
        <f t="shared" si="222"/>
        <v>0.13798363901111446</v>
      </c>
      <c r="J66" s="128">
        <f t="shared" si="222"/>
        <v>0.18489286234013222</v>
      </c>
      <c r="K66" s="128">
        <f t="shared" si="222"/>
        <v>0.2120773824365291</v>
      </c>
      <c r="L66" s="1124">
        <f t="shared" si="222"/>
        <v>0.18795450116413837</v>
      </c>
      <c r="M66" s="128">
        <f t="shared" si="222"/>
        <v>0.17672336825589188</v>
      </c>
      <c r="N66" s="128">
        <f t="shared" si="222"/>
        <v>0.17073446753932625</v>
      </c>
      <c r="O66" s="128">
        <f t="shared" si="222"/>
        <v>0.19383894772978091</v>
      </c>
      <c r="P66" s="128">
        <f t="shared" si="222"/>
        <v>0.18256269615292794</v>
      </c>
      <c r="Q66" s="1124">
        <f t="shared" si="222"/>
        <v>0.18117941750870339</v>
      </c>
      <c r="R66" s="128">
        <f t="shared" si="222"/>
        <v>0.14865315713891991</v>
      </c>
      <c r="S66" s="128">
        <f t="shared" si="222"/>
        <v>0.1425872725870036</v>
      </c>
      <c r="T66" s="128">
        <f t="shared" si="222"/>
        <v>0.15198499918702707</v>
      </c>
      <c r="U66" s="128">
        <f t="shared" si="222"/>
        <v>0.19985687128555926</v>
      </c>
      <c r="V66" s="1124">
        <f t="shared" si="222"/>
        <v>0.16086540426035248</v>
      </c>
      <c r="W66" s="128">
        <f t="shared" si="222"/>
        <v>0.13184427002309904</v>
      </c>
      <c r="X66" s="128">
        <f t="shared" si="222"/>
        <v>0.12441752406527254</v>
      </c>
      <c r="Y66" s="128">
        <f t="shared" si="222"/>
        <v>0.061503389157244626</v>
      </c>
      <c r="Z66" s="128">
        <f t="shared" si="222"/>
        <v>0.11769737470392173</v>
      </c>
      <c r="AA66" s="1124">
        <f t="shared" si="222"/>
        <v>0.10899866488651536</v>
      </c>
      <c r="AB66" s="128">
        <f t="shared" si="222"/>
        <v>0.14569544386132602</v>
      </c>
      <c r="AC66" s="128">
        <f t="shared" si="222"/>
        <v>0.11247684017118051</v>
      </c>
      <c r="AD66" s="128">
        <f t="shared" si="222"/>
        <v>0.1504345718504225</v>
      </c>
      <c r="AE66" s="128">
        <f t="shared" si="222"/>
        <v>0.13065210999322452</v>
      </c>
      <c r="AF66" s="1124">
        <f t="shared" si="222"/>
        <v>0.13481500624542361</v>
      </c>
      <c r="AG66" s="128">
        <f t="shared" si="222"/>
        <v>0.1694679967481679</v>
      </c>
      <c r="AH66" s="128">
        <f t="shared" si="222"/>
        <v>0.11582344706806208</v>
      </c>
      <c r="AI66" s="128">
        <f t="shared" si="222"/>
        <v>0.081526001705029841</v>
      </c>
      <c r="AJ66" s="128">
        <f t="shared" si="222"/>
        <v>0.17849962954931511</v>
      </c>
      <c r="AK66" s="1124">
        <f t="shared" si="222"/>
        <v>0.13618860264110666</v>
      </c>
      <c r="AL66" s="128">
        <f t="shared" si="222"/>
        <v>0.12371798185787741</v>
      </c>
      <c r="AM66" s="128">
        <f t="shared" si="222"/>
        <v>-0.0086040593201898666</v>
      </c>
      <c r="AN66" s="128">
        <f>INDEX(MO_BSS_ROTE,0,COLUMN())</f>
        <v>0.16779184577396128</v>
      </c>
      <c r="AO66" s="128">
        <f t="shared" si="222"/>
        <v>0.2545883754748528</v>
      </c>
      <c r="AP66" s="1124">
        <f t="shared" si="222"/>
        <v>0.13592528677291646</v>
      </c>
      <c r="AQ66" s="128">
        <f t="shared" si="222"/>
        <v>0.1403486532666767</v>
      </c>
      <c r="AR66" s="128">
        <f t="shared" si="223" ref="AR66:AW66">INDEX(MO_BSS_ROTE,0,COLUMN())</f>
        <v>0.17364156415200174</v>
      </c>
      <c r="AS66" s="128">
        <f t="shared" si="223"/>
        <v>0.12075867903435358</v>
      </c>
      <c r="AT66" s="128">
        <f t="shared" si="223"/>
        <v>0.2399587956318997</v>
      </c>
      <c r="AU66" s="1124">
        <f t="shared" si="223"/>
        <v>0.16912168386574483</v>
      </c>
      <c r="AV66" s="128">
        <f t="shared" si="223"/>
        <v>0.182602951218788</v>
      </c>
      <c r="AW66" s="128">
        <f t="shared" si="223"/>
        <v>0.097191946000309601</v>
      </c>
      <c r="AX66" s="128">
        <f t="shared" si="224" ref="AX66:BB66">INDEX(MO_BSS_ROTE,0,COLUMN())</f>
        <v>0.080181715932656147</v>
      </c>
      <c r="AY66" s="128">
        <f t="shared" si="224"/>
        <v>0.14564486985541888</v>
      </c>
      <c r="AZ66" s="1124">
        <f t="shared" si="224"/>
        <v>0.1262990180721274</v>
      </c>
      <c r="BA66" s="128">
        <f t="shared" si="224"/>
        <v>0.17440924864622051</v>
      </c>
      <c r="BB66" s="128">
        <f t="shared" si="224"/>
        <v>-0.0026752411198486033</v>
      </c>
      <c r="BC66" s="128">
        <f t="shared" si="225" ref="BC66:BJ66">INDEX(MO_BSS_ROTE,0,COLUMN())</f>
        <v>0.071478104595910516</v>
      </c>
      <c r="BD66" s="128">
        <f t="shared" si="225"/>
        <v>0.2775566010800542</v>
      </c>
      <c r="BE66" s="1124">
        <f t="shared" si="225"/>
        <v>0.13090944364588752</v>
      </c>
      <c r="BF66" s="128">
        <f t="shared" si="225"/>
        <v>0.18659394156096676</v>
      </c>
      <c r="BG66" s="128">
        <f t="shared" si="225"/>
        <v>0.087729934587925676</v>
      </c>
      <c r="BH66" s="798">
        <f>INDEX(MO_BSS_ROTE,0,COLUMN())</f>
        <v>0.20067901884408887</v>
      </c>
      <c r="BI66" s="128">
        <f t="shared" ca="1" si="225"/>
        <v>0.22186782184418621</v>
      </c>
      <c r="BJ66" s="1124">
        <f t="shared" ca="1" si="225"/>
        <v>0.17471908573302747</v>
      </c>
      <c r="BK66" s="128">
        <f ca="1" t="shared" si="226" ref="BK66:BR66">INDEX(MO_BSS_ROTE,0,COLUMN())</f>
        <v>0.19448290661245848</v>
      </c>
      <c r="BL66" s="128">
        <f t="shared" ca="1" si="226"/>
        <v>0.12630106533574928</v>
      </c>
      <c r="BM66" s="128">
        <f t="shared" ca="1" si="226"/>
        <v>0.14861026708291261</v>
      </c>
      <c r="BN66" s="128">
        <f t="shared" ca="1" si="226"/>
        <v>0.20263658020092304</v>
      </c>
      <c r="BO66" s="1124">
        <f t="shared" ca="1" si="226"/>
        <v>0.16813012039006023</v>
      </c>
      <c r="BP66" s="1124">
        <f t="shared" ca="1" si="226"/>
        <v>0.16101114100594621</v>
      </c>
      <c r="BQ66" s="1124">
        <f t="shared" ca="1" si="226"/>
        <v>0.15197636300488448</v>
      </c>
      <c r="BR66" s="1124">
        <f t="shared" ca="1" si="226"/>
        <v>0.12366290243326718</v>
      </c>
      <c r="BS66" s="275"/>
    </row>
    <row r="67" spans="1:71" ht="15" customHeight="1">
      <c r="A67" s="241"/>
      <c r="B67" s="232"/>
      <c r="C67" s="1120"/>
      <c r="D67" s="1120"/>
      <c r="E67" s="1120"/>
      <c r="F67" s="1120"/>
      <c r="G67" s="1120"/>
      <c r="H67" s="897"/>
      <c r="I67" s="897"/>
      <c r="J67" s="897"/>
      <c r="K67" s="897"/>
      <c r="L67" s="1120"/>
      <c r="M67" s="897"/>
      <c r="N67" s="897"/>
      <c r="O67" s="897"/>
      <c r="P67" s="897"/>
      <c r="Q67" s="1120"/>
      <c r="R67" s="897"/>
      <c r="S67" s="897"/>
      <c r="T67" s="897"/>
      <c r="U67" s="897"/>
      <c r="V67" s="1120"/>
      <c r="W67" s="897"/>
      <c r="X67" s="897"/>
      <c r="Y67" s="897"/>
      <c r="Z67" s="897"/>
      <c r="AA67" s="1120"/>
      <c r="AB67" s="897"/>
      <c r="AC67" s="897"/>
      <c r="AD67" s="897"/>
      <c r="AE67" s="897"/>
      <c r="AF67" s="1120"/>
      <c r="AG67" s="897"/>
      <c r="AH67" s="897"/>
      <c r="AI67" s="897"/>
      <c r="AJ67" s="897"/>
      <c r="AK67" s="1120"/>
      <c r="AL67" s="897"/>
      <c r="AM67" s="897"/>
      <c r="AN67" s="897"/>
      <c r="AO67" s="897"/>
      <c r="AP67" s="1120"/>
      <c r="AQ67" s="897"/>
      <c r="AR67" s="897"/>
      <c r="AS67" s="897"/>
      <c r="AT67" s="897"/>
      <c r="AU67" s="1120"/>
      <c r="AV67" s="897"/>
      <c r="AW67" s="897"/>
      <c r="AX67" s="897"/>
      <c r="AY67" s="897"/>
      <c r="AZ67" s="1120"/>
      <c r="BA67" s="897"/>
      <c r="BB67" s="897"/>
      <c r="BC67" s="897"/>
      <c r="BD67" s="897"/>
      <c r="BE67" s="1120"/>
      <c r="BF67" s="897"/>
      <c r="BG67" s="897"/>
      <c r="BH67" s="898"/>
      <c r="BI67" s="897"/>
      <c r="BJ67" s="1120"/>
      <c r="BK67" s="897"/>
      <c r="BL67" s="897"/>
      <c r="BM67" s="897"/>
      <c r="BN67" s="897"/>
      <c r="BO67" s="1120"/>
      <c r="BP67" s="1120"/>
      <c r="BQ67" s="1120"/>
      <c r="BR67" s="1120"/>
      <c r="BS67" s="840"/>
    </row>
    <row r="68" spans="1:71" ht="15">
      <c r="A68" s="142" t="s">
        <v>166</v>
      </c>
      <c r="B68" s="838"/>
      <c r="C68" s="891"/>
      <c r="D68" s="891"/>
      <c r="E68" s="891"/>
      <c r="F68" s="891"/>
      <c r="G68" s="891"/>
      <c r="H68" s="891"/>
      <c r="I68" s="891"/>
      <c r="J68" s="891"/>
      <c r="K68" s="891"/>
      <c r="L68" s="891"/>
      <c r="M68" s="891"/>
      <c r="N68" s="891"/>
      <c r="O68" s="891"/>
      <c r="P68" s="891"/>
      <c r="Q68" s="891"/>
      <c r="R68" s="891"/>
      <c r="S68" s="891"/>
      <c r="T68" s="891"/>
      <c r="U68" s="891"/>
      <c r="V68" s="891"/>
      <c r="W68" s="891"/>
      <c r="X68" s="891"/>
      <c r="Y68" s="891"/>
      <c r="Z68" s="891"/>
      <c r="AA68" s="891"/>
      <c r="AB68" s="891"/>
      <c r="AC68" s="891"/>
      <c r="AD68" s="891"/>
      <c r="AE68" s="891"/>
      <c r="AF68" s="891"/>
      <c r="AG68" s="891"/>
      <c r="AH68" s="891"/>
      <c r="AI68" s="891"/>
      <c r="AJ68" s="891"/>
      <c r="AK68" s="891"/>
      <c r="AL68" s="891"/>
      <c r="AM68" s="891"/>
      <c r="AN68" s="891"/>
      <c r="AO68" s="891"/>
      <c r="AP68" s="891"/>
      <c r="AQ68" s="891"/>
      <c r="AR68" s="891"/>
      <c r="AS68" s="891"/>
      <c r="AT68" s="891"/>
      <c r="AU68" s="891"/>
      <c r="AV68" s="891"/>
      <c r="AW68" s="891"/>
      <c r="AX68" s="891"/>
      <c r="AY68" s="891"/>
      <c r="AZ68" s="891"/>
      <c r="BA68" s="891"/>
      <c r="BB68" s="891"/>
      <c r="BC68" s="891"/>
      <c r="BD68" s="891"/>
      <c r="BE68" s="891"/>
      <c r="BF68" s="891"/>
      <c r="BG68" s="891"/>
      <c r="BH68" s="892"/>
      <c r="BI68" s="891"/>
      <c r="BJ68" s="891"/>
      <c r="BK68" s="891"/>
      <c r="BL68" s="891"/>
      <c r="BM68" s="891"/>
      <c r="BN68" s="891"/>
      <c r="BO68" s="891"/>
      <c r="BP68" s="891"/>
      <c r="BQ68" s="891"/>
      <c r="BR68" s="891"/>
      <c r="BS68" s="839"/>
    </row>
    <row r="69" spans="1:71" s="53" customFormat="1" ht="15">
      <c r="A69" s="226" t="str">
        <f>INDEX(MO_BSS_NUPR,0,COLUMN())</f>
        <v>Net Unearned Premium Reserves</v>
      </c>
      <c r="B69" s="249"/>
      <c r="C69" s="1125">
        <f t="shared" si="227" ref="C69:AQ69">INDEX(MO_BSS_NUPR,0,COLUMN())</f>
        <v>9945</v>
      </c>
      <c r="D69" s="1125">
        <f t="shared" si="227"/>
        <v>10108</v>
      </c>
      <c r="E69" s="1125">
        <f t="shared" si="227"/>
        <v>10274</v>
      </c>
      <c r="F69" s="1125">
        <f t="shared" si="227"/>
        <v>10385</v>
      </c>
      <c r="G69" s="1125">
        <f t="shared" si="227"/>
        <v>11049</v>
      </c>
      <c r="H69" s="168">
        <f t="shared" si="227"/>
        <v>11066</v>
      </c>
      <c r="I69" s="168">
        <f t="shared" si="227"/>
        <v>11327</v>
      </c>
      <c r="J69" s="168">
        <f t="shared" si="227"/>
        <v>11333</v>
      </c>
      <c r="K69" s="168">
        <f t="shared" si="227"/>
        <v>11161</v>
      </c>
      <c r="L69" s="1125">
        <f t="shared" si="227"/>
        <v>11161</v>
      </c>
      <c r="M69" s="168">
        <f t="shared" si="227"/>
        <v>11124</v>
      </c>
      <c r="N69" s="168">
        <f t="shared" si="227"/>
        <v>11371</v>
      </c>
      <c r="O69" s="168">
        <f t="shared" si="227"/>
        <v>11495</v>
      </c>
      <c r="P69" s="168">
        <f t="shared" si="227"/>
        <v>11315</v>
      </c>
      <c r="Q69" s="1125">
        <f t="shared" si="227"/>
        <v>11315</v>
      </c>
      <c r="R69" s="168">
        <f t="shared" si="227"/>
        <v>11526</v>
      </c>
      <c r="S69" s="168">
        <f t="shared" si="227"/>
        <v>11794</v>
      </c>
      <c r="T69" s="168">
        <f t="shared" si="227"/>
        <v>11965</v>
      </c>
      <c r="U69" s="168">
        <f t="shared" si="227"/>
        <v>11740</v>
      </c>
      <c r="V69" s="1125">
        <f t="shared" si="227"/>
        <v>11740</v>
      </c>
      <c r="W69" s="168">
        <f t="shared" si="227"/>
        <v>12069</v>
      </c>
      <c r="X69" s="168">
        <f t="shared" si="227"/>
        <v>12387</v>
      </c>
      <c r="Y69" s="168">
        <f t="shared" si="227"/>
        <v>12559</v>
      </c>
      <c r="Z69" s="168">
        <f t="shared" si="227"/>
        <v>12364</v>
      </c>
      <c r="AA69" s="1125">
        <f t="shared" si="227"/>
        <v>12364</v>
      </c>
      <c r="AB69" s="168">
        <f t="shared" si="227"/>
        <v>12647</v>
      </c>
      <c r="AC69" s="168">
        <f t="shared" si="227"/>
        <v>13057</v>
      </c>
      <c r="AD69" s="168">
        <f t="shared" si="227"/>
        <v>13264</v>
      </c>
      <c r="AE69" s="168">
        <f t="shared" si="227"/>
        <v>12977</v>
      </c>
      <c r="AF69" s="1125">
        <f t="shared" si="227"/>
        <v>12977</v>
      </c>
      <c r="AG69" s="168">
        <f t="shared" si="227"/>
        <v>13187</v>
      </c>
      <c r="AH69" s="168">
        <f t="shared" si="227"/>
        <v>13674</v>
      </c>
      <c r="AI69" s="168">
        <f t="shared" si="227"/>
        <v>14055</v>
      </c>
      <c r="AJ69" s="168">
        <f t="shared" si="227"/>
        <v>13915</v>
      </c>
      <c r="AK69" s="1125">
        <f t="shared" si="227"/>
        <v>13915</v>
      </c>
      <c r="AL69" s="168">
        <f t="shared" si="227"/>
        <v>13911</v>
      </c>
      <c r="AM69" s="168">
        <f t="shared" si="227"/>
        <v>14253</v>
      </c>
      <c r="AN69" s="168">
        <f>INDEX(MO_BSS_NUPR,0,COLUMN())</f>
        <v>14640</v>
      </c>
      <c r="AO69" s="168">
        <f t="shared" si="227"/>
        <v>14450</v>
      </c>
      <c r="AP69" s="1125">
        <f t="shared" si="227"/>
        <v>14450</v>
      </c>
      <c r="AQ69" s="168">
        <f t="shared" si="227"/>
        <v>14577</v>
      </c>
      <c r="AR69" s="168">
        <f t="shared" si="228" ref="AR69:AW69">INDEX(MO_BSS_NUPR,0,COLUMN())</f>
        <v>15130</v>
      </c>
      <c r="AS69" s="168">
        <f t="shared" si="228"/>
        <v>15593</v>
      </c>
      <c r="AT69" s="168">
        <f t="shared" si="228"/>
        <v>15567</v>
      </c>
      <c r="AU69" s="1125">
        <f t="shared" si="228"/>
        <v>15567</v>
      </c>
      <c r="AV69" s="168">
        <f t="shared" si="228"/>
        <v>15927</v>
      </c>
      <c r="AW69" s="168">
        <f t="shared" si="228"/>
        <v>16615</v>
      </c>
      <c r="AX69" s="168">
        <f t="shared" si="229" ref="AX69:BB69">INDEX(MO_BSS_NUPR,0,COLUMN())</f>
        <v>17165</v>
      </c>
      <c r="AY69" s="168">
        <f t="shared" si="229"/>
        <v>17216</v>
      </c>
      <c r="AZ69" s="1125">
        <f t="shared" si="229"/>
        <v>17216</v>
      </c>
      <c r="BA69" s="168">
        <f t="shared" si="229"/>
        <v>17783</v>
      </c>
      <c r="BB69" s="168">
        <f t="shared" si="229"/>
        <v>18912</v>
      </c>
      <c r="BC69" s="168">
        <f t="shared" si="230" ref="BC69:BJ69">INDEX(MO_BSS_NUPR,0,COLUMN())</f>
        <v>19669</v>
      </c>
      <c r="BD69" s="168">
        <f t="shared" si="230"/>
        <v>19722</v>
      </c>
      <c r="BE69" s="1125">
        <f t="shared" si="230"/>
        <v>19722</v>
      </c>
      <c r="BF69" s="168">
        <f t="shared" si="230"/>
        <v>19772</v>
      </c>
      <c r="BG69" s="168">
        <f t="shared" si="230"/>
        <v>20645</v>
      </c>
      <c r="BH69" s="799">
        <f>INDEX(MO_BSS_NUPR,0,COLUMN())</f>
        <v>21281</v>
      </c>
      <c r="BI69" s="168">
        <f t="shared" si="230"/>
        <v>21435.481494</v>
      </c>
      <c r="BJ69" s="1125">
        <f t="shared" si="230"/>
        <v>21435.481494</v>
      </c>
      <c r="BK69" s="168">
        <f t="shared" si="231" ref="BK69:BR69">INDEX(MO_BSS_NUPR,0,COLUMN())</f>
        <v>21779.958267999998</v>
      </c>
      <c r="BL69" s="168">
        <f t="shared" si="231"/>
        <v>21951.635332000002</v>
      </c>
      <c r="BM69" s="168">
        <f t="shared" si="231"/>
        <v>22128.060362</v>
      </c>
      <c r="BN69" s="168">
        <f t="shared" si="231"/>
        <v>22288.423171999999</v>
      </c>
      <c r="BO69" s="1125">
        <f t="shared" si="231"/>
        <v>22288.423171999999</v>
      </c>
      <c r="BP69" s="1125">
        <f t="shared" si="231"/>
        <v>23782.909699</v>
      </c>
      <c r="BQ69" s="1125">
        <f t="shared" si="231"/>
        <v>25341.143894000001</v>
      </c>
      <c r="BR69" s="1125">
        <f t="shared" si="231"/>
        <v>26966.427790000002</v>
      </c>
      <c r="BS69" s="839"/>
    </row>
    <row r="70" spans="1:71" s="53" customFormat="1" ht="15">
      <c r="A70" s="677" t="str">
        <f>INDEX(MO_BSS_NLR,0,COLUMN())</f>
        <v>Net Loss Reserves</v>
      </c>
      <c r="B70" s="250"/>
      <c r="C70" s="1126">
        <f t="shared" si="232" ref="C70:AQ70">INDEX(MO_BSS_NLR,0,COLUMN())</f>
        <v>40311</v>
      </c>
      <c r="D70" s="1126">
        <f t="shared" si="232"/>
        <v>39612</v>
      </c>
      <c r="E70" s="1126">
        <f t="shared" si="232"/>
        <v>40237</v>
      </c>
      <c r="F70" s="1126">
        <f t="shared" si="232"/>
        <v>40210</v>
      </c>
      <c r="G70" s="1126">
        <f t="shared" si="232"/>
        <v>41182</v>
      </c>
      <c r="H70" s="170">
        <f t="shared" si="232"/>
        <v>40998</v>
      </c>
      <c r="I70" s="170">
        <f t="shared" si="232"/>
        <v>41348</v>
      </c>
      <c r="J70" s="170">
        <f t="shared" si="232"/>
        <v>41123</v>
      </c>
      <c r="K70" s="170">
        <f t="shared" si="232"/>
        <v>40590</v>
      </c>
      <c r="L70" s="1126">
        <f t="shared" si="232"/>
        <v>40590</v>
      </c>
      <c r="M70" s="170">
        <f t="shared" si="232"/>
        <v>39852</v>
      </c>
      <c r="N70" s="170">
        <f t="shared" si="232"/>
        <v>39868</v>
      </c>
      <c r="O70" s="170">
        <f t="shared" si="232"/>
        <v>39647</v>
      </c>
      <c r="P70" s="170">
        <f t="shared" si="232"/>
        <v>39385</v>
      </c>
      <c r="Q70" s="1126">
        <f t="shared" si="232"/>
        <v>39385</v>
      </c>
      <c r="R70" s="170">
        <f t="shared" si="232"/>
        <v>39837</v>
      </c>
      <c r="S70" s="170">
        <f t="shared" si="232"/>
        <v>39350</v>
      </c>
      <c r="T70" s="170">
        <f t="shared" si="232"/>
        <v>39503</v>
      </c>
      <c r="U70" s="170">
        <f t="shared" si="232"/>
        <v>39662</v>
      </c>
      <c r="V70" s="1126">
        <f t="shared" si="232"/>
        <v>39662</v>
      </c>
      <c r="W70" s="170">
        <f t="shared" si="232"/>
        <v>40121</v>
      </c>
      <c r="X70" s="170">
        <f t="shared" si="232"/>
        <v>40424</v>
      </c>
      <c r="Y70" s="170">
        <f t="shared" si="232"/>
        <v>41405</v>
      </c>
      <c r="Z70" s="170">
        <f t="shared" si="232"/>
        <v>41341</v>
      </c>
      <c r="AA70" s="1126">
        <f t="shared" si="232"/>
        <v>41341</v>
      </c>
      <c r="AB70" s="170">
        <f t="shared" si="232"/>
        <v>41512</v>
      </c>
      <c r="AC70" s="170">
        <f t="shared" si="232"/>
        <v>41703</v>
      </c>
      <c r="AD70" s="170">
        <f t="shared" si="232"/>
        <v>42116</v>
      </c>
      <c r="AE70" s="170">
        <f t="shared" si="232"/>
        <v>42298</v>
      </c>
      <c r="AF70" s="1126">
        <f t="shared" si="232"/>
        <v>42298</v>
      </c>
      <c r="AG70" s="170">
        <f t="shared" si="232"/>
        <v>42437</v>
      </c>
      <c r="AH70" s="170">
        <f t="shared" si="232"/>
        <v>42839</v>
      </c>
      <c r="AI70" s="170">
        <f t="shared" si="232"/>
        <v>43450</v>
      </c>
      <c r="AJ70" s="170">
        <f t="shared" si="232"/>
        <v>43614</v>
      </c>
      <c r="AK70" s="1126">
        <f t="shared" si="232"/>
        <v>43614</v>
      </c>
      <c r="AL70" s="170">
        <f t="shared" si="232"/>
        <v>43805</v>
      </c>
      <c r="AM70" s="170">
        <f t="shared" si="232"/>
        <v>45016</v>
      </c>
      <c r="AN70" s="170">
        <f>INDEX(MO_BSS_NLR,0,COLUMN())</f>
        <v>46101</v>
      </c>
      <c r="AO70" s="170">
        <f t="shared" si="232"/>
        <v>46171</v>
      </c>
      <c r="AP70" s="1126">
        <f t="shared" si="232"/>
        <v>46171</v>
      </c>
      <c r="AQ70" s="170">
        <f t="shared" si="232"/>
        <v>46995</v>
      </c>
      <c r="AR70" s="170">
        <f t="shared" si="233" ref="AR70:AW70">INDEX(MO_BSS_NLR,0,COLUMN())</f>
        <v>47697</v>
      </c>
      <c r="AS70" s="170">
        <f t="shared" si="233"/>
        <v>48476</v>
      </c>
      <c r="AT70" s="170">
        <f t="shared" si="233"/>
        <v>48455</v>
      </c>
      <c r="AU70" s="1126">
        <f t="shared" si="233"/>
        <v>48455</v>
      </c>
      <c r="AV70" s="170">
        <f t="shared" si="233"/>
        <v>48838</v>
      </c>
      <c r="AW70" s="170">
        <f t="shared" si="233"/>
        <v>49474</v>
      </c>
      <c r="AX70" s="170">
        <f t="shared" si="234" ref="AX70:BB70">INDEX(MO_BSS_NLR,0,COLUMN())</f>
        <v>49936</v>
      </c>
      <c r="AY70" s="170">
        <f t="shared" si="234"/>
        <v>50586</v>
      </c>
      <c r="AZ70" s="1126">
        <f t="shared" si="234"/>
        <v>50586</v>
      </c>
      <c r="BA70" s="170">
        <f t="shared" si="234"/>
        <v>50973</v>
      </c>
      <c r="BB70" s="170">
        <f t="shared" si="234"/>
        <v>52450</v>
      </c>
      <c r="BC70" s="170">
        <f t="shared" si="235" ref="BC70:BJ70">INDEX(MO_BSS_NLR,0,COLUMN())</f>
        <v>53442</v>
      </c>
      <c r="BD70" s="170">
        <f t="shared" si="235"/>
        <v>53484</v>
      </c>
      <c r="BE70" s="1126">
        <f t="shared" si="235"/>
        <v>53484</v>
      </c>
      <c r="BF70" s="170">
        <f t="shared" si="235"/>
        <v>54387</v>
      </c>
      <c r="BG70" s="170">
        <f t="shared" si="235"/>
        <v>55725</v>
      </c>
      <c r="BH70" s="800">
        <f>INDEX(MO_BSS_NLR,0,COLUMN())</f>
        <v>56671</v>
      </c>
      <c r="BI70" s="170">
        <f t="shared" si="235"/>
        <v>57638.029362000001</v>
      </c>
      <c r="BJ70" s="1126">
        <f t="shared" si="235"/>
        <v>57638.029362000001</v>
      </c>
      <c r="BK70" s="170">
        <f t="shared" si="236" ref="BK70:BR70">INDEX(MO_BSS_NLR,0,COLUMN())</f>
        <v>58667.647761</v>
      </c>
      <c r="BL70" s="170">
        <f t="shared" si="236"/>
        <v>59820.693218</v>
      </c>
      <c r="BM70" s="170">
        <f t="shared" si="236"/>
        <v>60975.693490999998</v>
      </c>
      <c r="BN70" s="170">
        <f t="shared" si="236"/>
        <v>61983.380324999998</v>
      </c>
      <c r="BO70" s="1126">
        <f t="shared" si="236"/>
        <v>61983.380324999998</v>
      </c>
      <c r="BP70" s="1126">
        <f t="shared" si="236"/>
        <v>66372.869785000003</v>
      </c>
      <c r="BQ70" s="1126">
        <f t="shared" si="236"/>
        <v>70849.645713999998</v>
      </c>
      <c r="BR70" s="1126">
        <f t="shared" si="236"/>
        <v>75561.403531000004</v>
      </c>
      <c r="BS70" s="839"/>
    </row>
    <row r="71" spans="1:71" s="54" customFormat="1" ht="15">
      <c r="A71" s="228" t="str">
        <f>INDEX(MO_BSS_NTR,0,COLUMN())</f>
        <v>Net Technical Reserves</v>
      </c>
      <c r="B71" s="372"/>
      <c r="C71" s="1127">
        <f t="shared" si="237" ref="C71:AQ71">INDEX(MO_BSS_NTR,0,COLUMN())</f>
        <v>50256</v>
      </c>
      <c r="D71" s="1127">
        <f t="shared" si="237"/>
        <v>49720</v>
      </c>
      <c r="E71" s="1127">
        <f t="shared" si="237"/>
        <v>50511</v>
      </c>
      <c r="F71" s="1127">
        <f t="shared" si="237"/>
        <v>50595</v>
      </c>
      <c r="G71" s="1127">
        <f t="shared" si="237"/>
        <v>52231</v>
      </c>
      <c r="H71" s="326">
        <f t="shared" si="237"/>
        <v>52064</v>
      </c>
      <c r="I71" s="326">
        <f t="shared" si="237"/>
        <v>52675</v>
      </c>
      <c r="J71" s="326">
        <f t="shared" si="237"/>
        <v>52456</v>
      </c>
      <c r="K71" s="326">
        <f t="shared" si="237"/>
        <v>51751</v>
      </c>
      <c r="L71" s="1127">
        <f t="shared" si="237"/>
        <v>51751</v>
      </c>
      <c r="M71" s="326">
        <f t="shared" si="237"/>
        <v>50976</v>
      </c>
      <c r="N71" s="326">
        <f t="shared" si="237"/>
        <v>51239</v>
      </c>
      <c r="O71" s="326">
        <f t="shared" si="237"/>
        <v>51142</v>
      </c>
      <c r="P71" s="326">
        <f t="shared" si="237"/>
        <v>50700</v>
      </c>
      <c r="Q71" s="1127">
        <f t="shared" si="237"/>
        <v>50700</v>
      </c>
      <c r="R71" s="326">
        <f t="shared" si="237"/>
        <v>51363</v>
      </c>
      <c r="S71" s="326">
        <f t="shared" si="237"/>
        <v>51144</v>
      </c>
      <c r="T71" s="326">
        <f t="shared" si="237"/>
        <v>51468</v>
      </c>
      <c r="U71" s="326">
        <f t="shared" si="237"/>
        <v>51402</v>
      </c>
      <c r="V71" s="1127">
        <f t="shared" si="237"/>
        <v>51402</v>
      </c>
      <c r="W71" s="326">
        <f t="shared" si="237"/>
        <v>52190</v>
      </c>
      <c r="X71" s="326">
        <f t="shared" si="237"/>
        <v>52811</v>
      </c>
      <c r="Y71" s="326">
        <f t="shared" si="237"/>
        <v>53964</v>
      </c>
      <c r="Z71" s="326">
        <f t="shared" si="237"/>
        <v>53705</v>
      </c>
      <c r="AA71" s="1127">
        <f t="shared" si="237"/>
        <v>53705</v>
      </c>
      <c r="AB71" s="326">
        <f t="shared" si="237"/>
        <v>54159</v>
      </c>
      <c r="AC71" s="326">
        <f t="shared" si="237"/>
        <v>54760</v>
      </c>
      <c r="AD71" s="326">
        <f t="shared" si="237"/>
        <v>55380</v>
      </c>
      <c r="AE71" s="326">
        <f t="shared" si="237"/>
        <v>55275</v>
      </c>
      <c r="AF71" s="1127">
        <f t="shared" si="237"/>
        <v>55275</v>
      </c>
      <c r="AG71" s="326">
        <f t="shared" si="237"/>
        <v>55624</v>
      </c>
      <c r="AH71" s="326">
        <f t="shared" si="237"/>
        <v>56513</v>
      </c>
      <c r="AI71" s="326">
        <f t="shared" si="237"/>
        <v>57505</v>
      </c>
      <c r="AJ71" s="326">
        <f t="shared" si="237"/>
        <v>57529</v>
      </c>
      <c r="AK71" s="1127">
        <f t="shared" si="237"/>
        <v>57529</v>
      </c>
      <c r="AL71" s="326">
        <f t="shared" si="237"/>
        <v>57716</v>
      </c>
      <c r="AM71" s="326">
        <f t="shared" si="237"/>
        <v>59269</v>
      </c>
      <c r="AN71" s="326">
        <f>INDEX(MO_BSS_NTR,0,COLUMN())</f>
        <v>60741</v>
      </c>
      <c r="AO71" s="326">
        <f t="shared" si="237"/>
        <v>60621</v>
      </c>
      <c r="AP71" s="1127">
        <f t="shared" si="237"/>
        <v>60621</v>
      </c>
      <c r="AQ71" s="326">
        <f t="shared" si="237"/>
        <v>61572</v>
      </c>
      <c r="AR71" s="326">
        <f t="shared" si="238" ref="AR71:AW71">INDEX(MO_BSS_NTR,0,COLUMN())</f>
        <v>62827</v>
      </c>
      <c r="AS71" s="326">
        <f t="shared" si="238"/>
        <v>64069</v>
      </c>
      <c r="AT71" s="326">
        <f t="shared" si="238"/>
        <v>64022</v>
      </c>
      <c r="AU71" s="1127">
        <f t="shared" si="238"/>
        <v>64022</v>
      </c>
      <c r="AV71" s="326">
        <f t="shared" si="238"/>
        <v>64765</v>
      </c>
      <c r="AW71" s="326">
        <f t="shared" si="238"/>
        <v>66089</v>
      </c>
      <c r="AX71" s="326">
        <f t="shared" si="239" ref="AX71:BB71">INDEX(MO_BSS_NTR,0,COLUMN())</f>
        <v>67101</v>
      </c>
      <c r="AY71" s="326">
        <f t="shared" si="239"/>
        <v>67802</v>
      </c>
      <c r="AZ71" s="1127">
        <f t="shared" si="239"/>
        <v>67802</v>
      </c>
      <c r="BA71" s="326">
        <f t="shared" si="239"/>
        <v>68756</v>
      </c>
      <c r="BB71" s="326">
        <f t="shared" si="239"/>
        <v>71362</v>
      </c>
      <c r="BC71" s="326">
        <f t="shared" si="240" ref="BC71:BJ71">INDEX(MO_BSS_NTR,0,COLUMN())</f>
        <v>73111</v>
      </c>
      <c r="BD71" s="326">
        <f t="shared" si="240"/>
        <v>73206</v>
      </c>
      <c r="BE71" s="1127">
        <f t="shared" si="240"/>
        <v>73206</v>
      </c>
      <c r="BF71" s="326">
        <f t="shared" si="240"/>
        <v>74159</v>
      </c>
      <c r="BG71" s="326">
        <f t="shared" si="240"/>
        <v>76370</v>
      </c>
      <c r="BH71" s="801">
        <f>INDEX(MO_BSS_NTR,0,COLUMN())</f>
        <v>77952</v>
      </c>
      <c r="BI71" s="326">
        <f t="shared" si="240"/>
        <v>79073.510855999994</v>
      </c>
      <c r="BJ71" s="1127">
        <f t="shared" si="240"/>
        <v>79073.510855999994</v>
      </c>
      <c r="BK71" s="326">
        <f t="shared" si="241" ref="BK71:BR71">INDEX(MO_BSS_NTR,0,COLUMN())</f>
        <v>80447.606029000002</v>
      </c>
      <c r="BL71" s="326">
        <f t="shared" si="241"/>
        <v>81772.328550000006</v>
      </c>
      <c r="BM71" s="326">
        <f t="shared" si="241"/>
        <v>83103.753853000002</v>
      </c>
      <c r="BN71" s="326">
        <f t="shared" si="241"/>
        <v>84271.803497000001</v>
      </c>
      <c r="BO71" s="1127">
        <f t="shared" si="241"/>
        <v>84271.803497000001</v>
      </c>
      <c r="BP71" s="1127">
        <f t="shared" si="241"/>
        <v>90155.779483999999</v>
      </c>
      <c r="BQ71" s="1127">
        <f t="shared" si="241"/>
        <v>96190.789608000006</v>
      </c>
      <c r="BR71" s="1127">
        <f t="shared" si="241"/>
        <v>102527.83132100001</v>
      </c>
      <c r="BS71" s="840"/>
    </row>
    <row r="72" spans="1:71" s="56" customFormat="1" ht="15">
      <c r="A72" s="251"/>
      <c r="B72" s="243"/>
      <c r="C72" s="1128"/>
      <c r="D72" s="1128"/>
      <c r="E72" s="1128"/>
      <c r="F72" s="1128"/>
      <c r="G72" s="1128"/>
      <c r="H72" s="172"/>
      <c r="I72" s="172"/>
      <c r="J72" s="172"/>
      <c r="K72" s="172"/>
      <c r="L72" s="1128"/>
      <c r="M72" s="172"/>
      <c r="N72" s="172"/>
      <c r="O72" s="172"/>
      <c r="P72" s="172"/>
      <c r="Q72" s="1128"/>
      <c r="R72" s="172"/>
      <c r="S72" s="172"/>
      <c r="T72" s="172"/>
      <c r="U72" s="172"/>
      <c r="V72" s="1128"/>
      <c r="W72" s="172"/>
      <c r="X72" s="172"/>
      <c r="Y72" s="172"/>
      <c r="Z72" s="172"/>
      <c r="AA72" s="1128"/>
      <c r="AB72" s="172"/>
      <c r="AC72" s="172"/>
      <c r="AD72" s="172"/>
      <c r="AE72" s="172"/>
      <c r="AF72" s="1128"/>
      <c r="AG72" s="172"/>
      <c r="AH72" s="172"/>
      <c r="AI72" s="172"/>
      <c r="AJ72" s="172"/>
      <c r="AK72" s="1128"/>
      <c r="AL72" s="172"/>
      <c r="AM72" s="172"/>
      <c r="AN72" s="172"/>
      <c r="AO72" s="172"/>
      <c r="AP72" s="1128"/>
      <c r="AQ72" s="172"/>
      <c r="AR72" s="172"/>
      <c r="AS72" s="172"/>
      <c r="AT72" s="172"/>
      <c r="AU72" s="1128"/>
      <c r="AV72" s="172"/>
      <c r="AW72" s="172"/>
      <c r="AX72" s="172"/>
      <c r="AY72" s="172"/>
      <c r="AZ72" s="1128"/>
      <c r="BA72" s="172"/>
      <c r="BB72" s="172"/>
      <c r="BC72" s="172"/>
      <c r="BD72" s="172"/>
      <c r="BE72" s="1128"/>
      <c r="BF72" s="172"/>
      <c r="BG72" s="172"/>
      <c r="BH72" s="802"/>
      <c r="BI72" s="172"/>
      <c r="BJ72" s="1128"/>
      <c r="BK72" s="172"/>
      <c r="BL72" s="172"/>
      <c r="BM72" s="172"/>
      <c r="BN72" s="172"/>
      <c r="BO72" s="1128"/>
      <c r="BP72" s="1128"/>
      <c r="BQ72" s="1128"/>
      <c r="BR72" s="1128"/>
      <c r="BS72" s="155"/>
    </row>
    <row r="73" spans="1:71" s="187" customFormat="1" ht="15">
      <c r="A73" s="244" t="str">
        <f>INDEX(MO_BSS_BVPS,0,COLUMN())</f>
        <v>Book Value per Common Share</v>
      </c>
      <c r="B73" s="245"/>
      <c r="C73" s="1106">
        <f t="shared" si="242" ref="C73:AQ73">INDEX(MO_BSS_BVPS,0,COLUMN())</f>
        <v>52.538919999999997</v>
      </c>
      <c r="D73" s="1106">
        <f t="shared" si="242"/>
        <v>58.460653000000001</v>
      </c>
      <c r="E73" s="1106">
        <f t="shared" si="242"/>
        <v>62.314155</v>
      </c>
      <c r="F73" s="1106">
        <f t="shared" si="242"/>
        <v>67.315844999999996</v>
      </c>
      <c r="G73" s="1106">
        <f t="shared" si="242"/>
        <v>70.144272000000001</v>
      </c>
      <c r="H73" s="317">
        <f t="shared" si="242"/>
        <v>73.056115000000005</v>
      </c>
      <c r="I73" s="317">
        <f t="shared" si="242"/>
        <v>75.315634000000003</v>
      </c>
      <c r="J73" s="317">
        <f t="shared" si="242"/>
        <v>76.406155999999996</v>
      </c>
      <c r="K73" s="317">
        <f t="shared" si="242"/>
        <v>77.082556999999994</v>
      </c>
      <c r="L73" s="1106">
        <f t="shared" si="242"/>
        <v>77.082556999999994</v>
      </c>
      <c r="M73" s="317">
        <f t="shared" si="242"/>
        <v>77.963601999999995</v>
      </c>
      <c r="N73" s="317">
        <f t="shared" si="242"/>
        <v>77.509640000000005</v>
      </c>
      <c r="O73" s="317">
        <f t="shared" si="242"/>
        <v>79.003945000000002</v>
      </c>
      <c r="P73" s="317">
        <f t="shared" si="242"/>
        <v>79.749915999999999</v>
      </c>
      <c r="Q73" s="1106">
        <f t="shared" si="242"/>
        <v>79.749915999999999</v>
      </c>
      <c r="R73" s="317">
        <f t="shared" si="242"/>
        <v>82.647058999999999</v>
      </c>
      <c r="S73" s="317">
        <f t="shared" si="242"/>
        <v>85.723204999999993</v>
      </c>
      <c r="T73" s="317">
        <f t="shared" si="242"/>
        <v>86.022526999999997</v>
      </c>
      <c r="U73" s="317">
        <f t="shared" si="242"/>
        <v>83.050787</v>
      </c>
      <c r="V73" s="1106">
        <f t="shared" si="242"/>
        <v>83.050787</v>
      </c>
      <c r="W73" s="317">
        <f t="shared" si="242"/>
        <v>84.509664000000001</v>
      </c>
      <c r="X73" s="317">
        <f t="shared" si="242"/>
        <v>86.47336</v>
      </c>
      <c r="Y73" s="317">
        <f t="shared" si="242"/>
        <v>86.729996</v>
      </c>
      <c r="Z73" s="317">
        <f t="shared" si="242"/>
        <v>87.439204000000004</v>
      </c>
      <c r="AA73" s="1106">
        <f t="shared" si="242"/>
        <v>87.439204000000004</v>
      </c>
      <c r="AB73" s="317">
        <f t="shared" si="242"/>
        <v>85.044411999999994</v>
      </c>
      <c r="AC73" s="317">
        <f t="shared" si="242"/>
        <v>84.508778000000007</v>
      </c>
      <c r="AD73" s="317">
        <f t="shared" si="242"/>
        <v>84.818731</v>
      </c>
      <c r="AE73" s="317">
        <f t="shared" si="242"/>
        <v>86.851290000000006</v>
      </c>
      <c r="AF73" s="1106">
        <f t="shared" si="242"/>
        <v>86.851290000000006</v>
      </c>
      <c r="AG73" s="317">
        <f t="shared" si="242"/>
        <v>92.936234999999996</v>
      </c>
      <c r="AH73" s="317">
        <f t="shared" si="242"/>
        <v>97.276219999999995</v>
      </c>
      <c r="AI73" s="317">
        <f t="shared" si="242"/>
        <v>99.213482999999997</v>
      </c>
      <c r="AJ73" s="317">
        <f t="shared" si="242"/>
        <v>101.53816</v>
      </c>
      <c r="AK73" s="1106">
        <f t="shared" si="242"/>
        <v>101.53816</v>
      </c>
      <c r="AL73" s="317">
        <f t="shared" si="242"/>
        <v>99.699366999999995</v>
      </c>
      <c r="AM73" s="317">
        <f t="shared" si="242"/>
        <v>106.409953</v>
      </c>
      <c r="AN73" s="317">
        <f>INDEX(MO_BSS_BVPS,0,COLUMN())</f>
        <v>109.94473000000001</v>
      </c>
      <c r="AO73" s="317">
        <f t="shared" si="242"/>
        <v>115.693344</v>
      </c>
      <c r="AP73" s="1106">
        <f t="shared" si="242"/>
        <v>115.693344</v>
      </c>
      <c r="AQ73" s="317">
        <f t="shared" si="242"/>
        <v>112.40159</v>
      </c>
      <c r="AR73" s="317">
        <f t="shared" si="243" ref="AR73:AW73">INDEX(MO_BSS_BVPS,0,COLUMN())</f>
        <v>116.857715</v>
      </c>
      <c r="AS73" s="317">
        <f t="shared" si="243"/>
        <v>115.747967</v>
      </c>
      <c r="AT73" s="317">
        <f t="shared" si="243"/>
        <v>119.763682</v>
      </c>
      <c r="AU73" s="1106">
        <f t="shared" si="243"/>
        <v>119.763682</v>
      </c>
      <c r="AV73" s="317">
        <f t="shared" si="243"/>
        <v>106.379167</v>
      </c>
      <c r="AW73" s="317">
        <f t="shared" si="243"/>
        <v>96.392752000000002</v>
      </c>
      <c r="AX73" s="317">
        <f t="shared" si="244" ref="AX73:BB73">INDEX(MO_BSS_BVPS,0,COLUMN())</f>
        <v>84.959453999999994</v>
      </c>
      <c r="AY73" s="317">
        <f t="shared" si="244"/>
        <v>92.890995000000004</v>
      </c>
      <c r="AZ73" s="1106">
        <f t="shared" si="244"/>
        <v>92.890995000000004</v>
      </c>
      <c r="BA73" s="317">
        <f t="shared" si="244"/>
        <v>99.792208000000002</v>
      </c>
      <c r="BB73" s="317">
        <f t="shared" si="244"/>
        <v>95.478375</v>
      </c>
      <c r="BC73" s="317">
        <f t="shared" si="245" ref="BC73:BJ73">INDEX(MO_BSS_BVPS,0,COLUMN())</f>
        <v>87.469352000000001</v>
      </c>
      <c r="BD73" s="317">
        <f t="shared" si="245"/>
        <v>109.206836</v>
      </c>
      <c r="BE73" s="1106">
        <f t="shared" si="245"/>
        <v>109.206836</v>
      </c>
      <c r="BF73" s="317">
        <f t="shared" si="245"/>
        <v>109.26637599999999</v>
      </c>
      <c r="BG73" s="317">
        <f t="shared" si="245"/>
        <v>109.091707</v>
      </c>
      <c r="BH73" s="785">
        <f>INDEX(MO_BSS_BVPS,0,COLUMN())</f>
        <v>122.00881099999999</v>
      </c>
      <c r="BI73" s="317">
        <f t="shared" ca="1" si="245"/>
        <v>127.343626</v>
      </c>
      <c r="BJ73" s="1106">
        <f t="shared" ca="1" si="245"/>
        <v>127.343626</v>
      </c>
      <c r="BK73" s="317">
        <f ca="1" t="shared" si="246" ref="BK73:BR73">INDEX(MO_BSS_BVPS,0,COLUMN())</f>
        <v>132.02826300000001</v>
      </c>
      <c r="BL73" s="317">
        <f t="shared" ca="1" si="246"/>
        <v>134.872964</v>
      </c>
      <c r="BM73" s="317">
        <f t="shared" ca="1" si="246"/>
        <v>138.572688</v>
      </c>
      <c r="BN73" s="317">
        <f t="shared" ca="1" si="246"/>
        <v>144.226811</v>
      </c>
      <c r="BO73" s="1106">
        <f t="shared" ca="1" si="246"/>
        <v>144.226811</v>
      </c>
      <c r="BP73" s="1106">
        <f t="shared" ca="1" si="246"/>
        <v>163.16709800000001</v>
      </c>
      <c r="BQ73" s="1106">
        <f t="shared" ca="1" si="246"/>
        <v>183.82482099999999</v>
      </c>
      <c r="BR73" s="1106">
        <f t="shared" ca="1" si="246"/>
        <v>202.293746</v>
      </c>
      <c r="BS73" s="274"/>
    </row>
    <row r="74" spans="1:71" s="187" customFormat="1" ht="15">
      <c r="A74" s="244" t="str">
        <f>INDEX(MO_BSS_BVPS_Adj,0,COLUMN())</f>
        <v>Adjusted Book Value per Common Share</v>
      </c>
      <c r="B74" s="245"/>
      <c r="C74" s="1106">
        <f t="shared" si="247" ref="C74:AQ74">INDEX(MO_BSS_BVPS_Adj,0,COLUMN())</f>
        <v>48.962136999999998</v>
      </c>
      <c r="D74" s="1106">
        <f t="shared" si="247"/>
        <v>54.183157000000001</v>
      </c>
      <c r="E74" s="1106">
        <f t="shared" si="247"/>
        <v>55.005091999999998</v>
      </c>
      <c r="F74" s="1106">
        <f t="shared" si="247"/>
        <v>59.093800000000002</v>
      </c>
      <c r="G74" s="1106">
        <f t="shared" si="247"/>
        <v>66.404526000000004</v>
      </c>
      <c r="H74" s="317">
        <f t="shared" si="247"/>
        <v>68.238849000000002</v>
      </c>
      <c r="I74" s="317">
        <f t="shared" si="247"/>
        <v>69.377581000000006</v>
      </c>
      <c r="J74" s="317">
        <f t="shared" si="247"/>
        <v>70.630657999999997</v>
      </c>
      <c r="K74" s="317">
        <f t="shared" si="247"/>
        <v>70.980756999999997</v>
      </c>
      <c r="L74" s="1106">
        <f t="shared" si="247"/>
        <v>70.980756999999997</v>
      </c>
      <c r="M74" s="317">
        <f t="shared" si="247"/>
        <v>71.449639000000005</v>
      </c>
      <c r="N74" s="317">
        <f t="shared" si="247"/>
        <v>73.088046000000006</v>
      </c>
      <c r="O74" s="317">
        <f t="shared" si="247"/>
        <v>74.355687000000003</v>
      </c>
      <c r="P74" s="317">
        <f t="shared" si="247"/>
        <v>75.393714000000003</v>
      </c>
      <c r="Q74" s="1106">
        <f t="shared" si="247"/>
        <v>75.393714000000003</v>
      </c>
      <c r="R74" s="317">
        <f t="shared" si="247"/>
        <v>76.631326999999999</v>
      </c>
      <c r="S74" s="317">
        <f t="shared" si="247"/>
        <v>77.603190999999995</v>
      </c>
      <c r="T74" s="317">
        <f t="shared" si="247"/>
        <v>78.810277999999997</v>
      </c>
      <c r="U74" s="317">
        <f t="shared" si="247"/>
        <v>80.439914000000002</v>
      </c>
      <c r="V74" s="1106">
        <f t="shared" si="247"/>
        <v>80.439914000000002</v>
      </c>
      <c r="W74" s="317">
        <f t="shared" si="247"/>
        <v>81.564065999999997</v>
      </c>
      <c r="X74" s="317">
        <f t="shared" si="247"/>
        <v>82.722001000000006</v>
      </c>
      <c r="Y74" s="317">
        <f t="shared" si="247"/>
        <v>83.054439000000002</v>
      </c>
      <c r="Z74" s="317">
        <f t="shared" si="247"/>
        <v>83.341931000000002</v>
      </c>
      <c r="AA74" s="1106">
        <f t="shared" si="247"/>
        <v>83.341931000000002</v>
      </c>
      <c r="AB74" s="317">
        <f t="shared" si="247"/>
        <v>84.552183999999997</v>
      </c>
      <c r="AC74" s="317">
        <f t="shared" si="247"/>
        <v>84.927156999999994</v>
      </c>
      <c r="AD74" s="317">
        <f t="shared" si="247"/>
        <v>86.506798000000003</v>
      </c>
      <c r="AE74" s="317">
        <f t="shared" si="247"/>
        <v>87.279970000000006</v>
      </c>
      <c r="AF74" s="1106">
        <f t="shared" si="247"/>
        <v>87.279970000000006</v>
      </c>
      <c r="AG74" s="317">
        <f t="shared" si="247"/>
        <v>89.091256000000001</v>
      </c>
      <c r="AH74" s="317">
        <f t="shared" si="247"/>
        <v>90.061468000000005</v>
      </c>
      <c r="AI74" s="317">
        <f t="shared" si="247"/>
        <v>90.092986999999994</v>
      </c>
      <c r="AJ74" s="317">
        <f t="shared" si="247"/>
        <v>92.747553999999994</v>
      </c>
      <c r="AK74" s="1106">
        <f t="shared" si="247"/>
        <v>92.747553999999994</v>
      </c>
      <c r="AL74" s="317">
        <f t="shared" si="247"/>
        <v>92.638448999999994</v>
      </c>
      <c r="AM74" s="317">
        <f t="shared" si="247"/>
        <v>92.010268999999994</v>
      </c>
      <c r="AN74" s="317">
        <f>INDEX(MO_BSS_BVPS_Adj,0,COLUMN())</f>
        <v>94.895381</v>
      </c>
      <c r="AO74" s="317">
        <f t="shared" si="247"/>
        <v>99.552297999999993</v>
      </c>
      <c r="AP74" s="1106">
        <f t="shared" si="247"/>
        <v>99.552297999999993</v>
      </c>
      <c r="AQ74" s="317">
        <f t="shared" si="247"/>
        <v>101.200795</v>
      </c>
      <c r="AR74" s="317">
        <f t="shared" si="248" ref="AR74:AW74">INDEX(MO_BSS_BVPS_Adj,0,COLUMN())</f>
        <v>103.87575200000001</v>
      </c>
      <c r="AS74" s="317">
        <f t="shared" si="248"/>
        <v>104.77642299999999</v>
      </c>
      <c r="AT74" s="317">
        <f t="shared" si="248"/>
        <v>109.751244</v>
      </c>
      <c r="AU74" s="1106">
        <f t="shared" si="248"/>
        <v>109.751244</v>
      </c>
      <c r="AV74" s="317">
        <f t="shared" si="248"/>
        <v>112.175</v>
      </c>
      <c r="AW74" s="317">
        <f t="shared" si="248"/>
        <v>112.372524</v>
      </c>
      <c r="AX74" s="317">
        <f t="shared" si="249" ref="AX74:BB74">INDEX(MO_BSS_BVPS_Adj,0,COLUMN())</f>
        <v>111.920615</v>
      </c>
      <c r="AY74" s="317">
        <f t="shared" si="249"/>
        <v>113.993968</v>
      </c>
      <c r="AZ74" s="1106">
        <f t="shared" si="249"/>
        <v>113.993968</v>
      </c>
      <c r="BA74" s="317">
        <f t="shared" si="249"/>
        <v>116.53679700000001</v>
      </c>
      <c r="BB74" s="317">
        <f t="shared" si="249"/>
        <v>115.46963700000001</v>
      </c>
      <c r="BC74" s="317">
        <f t="shared" si="250" ref="BC74:BJ74">INDEX(MO_BSS_BVPS_Adj,0,COLUMN())</f>
        <v>115.779335</v>
      </c>
      <c r="BD74" s="317">
        <f t="shared" si="250"/>
        <v>122.918493</v>
      </c>
      <c r="BE74" s="1106">
        <f t="shared" si="250"/>
        <v>122.918493</v>
      </c>
      <c r="BF74" s="317">
        <f t="shared" si="250"/>
        <v>125.51528399999999</v>
      </c>
      <c r="BG74" s="317">
        <f t="shared" si="250"/>
        <v>126.537955</v>
      </c>
      <c r="BH74" s="785">
        <f>INDEX(MO_BSS_BVPS_Adj,0,COLUMN())</f>
        <v>131.30837</v>
      </c>
      <c r="BI74" s="317">
        <f t="shared" ca="1" si="250"/>
        <v>136.64318499999999</v>
      </c>
      <c r="BJ74" s="1106">
        <f t="shared" ca="1" si="250"/>
        <v>136.64318499999999</v>
      </c>
      <c r="BK74" s="317">
        <f ca="1" t="shared" si="251" ref="BK74:BR74">INDEX(MO_BSS_BVPS_Adj,0,COLUMN())</f>
        <v>141.327823</v>
      </c>
      <c r="BL74" s="317">
        <f t="shared" ca="1" si="251"/>
        <v>144.17252300000001</v>
      </c>
      <c r="BM74" s="317">
        <f t="shared" ca="1" si="251"/>
        <v>147.87224800000001</v>
      </c>
      <c r="BN74" s="317">
        <f t="shared" ca="1" si="251"/>
        <v>153.52636999999999</v>
      </c>
      <c r="BO74" s="1106">
        <f t="shared" ca="1" si="251"/>
        <v>153.52636999999999</v>
      </c>
      <c r="BP74" s="1106">
        <f t="shared" ca="1" si="251"/>
        <v>172.466657</v>
      </c>
      <c r="BQ74" s="1106">
        <f t="shared" ca="1" si="251"/>
        <v>193.124381</v>
      </c>
      <c r="BR74" s="1106">
        <f t="shared" ca="1" si="251"/>
        <v>211.59330499999999</v>
      </c>
      <c r="BS74" s="274"/>
    </row>
    <row r="75" spans="1:71" s="187" customFormat="1" ht="15">
      <c r="A75" s="244" t="str">
        <f>INDEX(MO_BSS_TBVPS,0,COLUMN())</f>
        <v>Tangible Book Value per Common Share</v>
      </c>
      <c r="B75" s="245"/>
      <c r="C75" s="1106">
        <f t="shared" si="252" ref="C75:AQ75">INDEX(MO_BSS_TBVPS,0,COLUMN())</f>
        <v>41.489525</v>
      </c>
      <c r="D75" s="1106">
        <f t="shared" si="252"/>
        <v>45.411873</v>
      </c>
      <c r="E75" s="1106">
        <f t="shared" si="252"/>
        <v>45.458247999999998</v>
      </c>
      <c r="F75" s="1106">
        <f t="shared" si="252"/>
        <v>49.295178</v>
      </c>
      <c r="G75" s="1106">
        <f t="shared" si="252"/>
        <v>55.284300000000002</v>
      </c>
      <c r="H75" s="317">
        <f t="shared" si="252"/>
        <v>56.989927999999999</v>
      </c>
      <c r="I75" s="317">
        <f t="shared" si="252"/>
        <v>57.855457000000001</v>
      </c>
      <c r="J75" s="317">
        <f t="shared" si="252"/>
        <v>58.919733999999998</v>
      </c>
      <c r="K75" s="317">
        <f t="shared" si="252"/>
        <v>59.003723999999998</v>
      </c>
      <c r="L75" s="1106">
        <f t="shared" si="252"/>
        <v>59.003723999999998</v>
      </c>
      <c r="M75" s="317">
        <f t="shared" si="252"/>
        <v>59.447757000000003</v>
      </c>
      <c r="N75" s="317">
        <f t="shared" si="252"/>
        <v>60.809769000000003</v>
      </c>
      <c r="O75" s="317">
        <f t="shared" si="252"/>
        <v>61.860618000000002</v>
      </c>
      <c r="P75" s="317">
        <f t="shared" si="252"/>
        <v>62.578574000000003</v>
      </c>
      <c r="Q75" s="1106">
        <f t="shared" si="252"/>
        <v>62.578574000000003</v>
      </c>
      <c r="R75" s="317">
        <f t="shared" si="252"/>
        <v>63.625171000000002</v>
      </c>
      <c r="S75" s="317">
        <f t="shared" si="252"/>
        <v>64.422477000000001</v>
      </c>
      <c r="T75" s="317">
        <f t="shared" si="252"/>
        <v>65.455825000000004</v>
      </c>
      <c r="U75" s="317">
        <f t="shared" si="252"/>
        <v>66.906295</v>
      </c>
      <c r="V75" s="1106">
        <f t="shared" si="252"/>
        <v>66.906295</v>
      </c>
      <c r="W75" s="317">
        <f t="shared" si="252"/>
        <v>68.020758999999998</v>
      </c>
      <c r="X75" s="317">
        <f t="shared" si="252"/>
        <v>68.996013000000005</v>
      </c>
      <c r="Y75" s="317">
        <f t="shared" si="252"/>
        <v>67.617829999999998</v>
      </c>
      <c r="Z75" s="317">
        <f t="shared" si="252"/>
        <v>67.686071999999996</v>
      </c>
      <c r="AA75" s="1106">
        <f t="shared" si="252"/>
        <v>67.686071999999996</v>
      </c>
      <c r="AB75" s="317">
        <f t="shared" si="252"/>
        <v>68.823093999999998</v>
      </c>
      <c r="AC75" s="317">
        <f t="shared" si="252"/>
        <v>69.073589999999996</v>
      </c>
      <c r="AD75" s="317">
        <f t="shared" si="252"/>
        <v>70.400301999999996</v>
      </c>
      <c r="AE75" s="317">
        <f t="shared" si="252"/>
        <v>71.202579999999998</v>
      </c>
      <c r="AF75" s="1106">
        <f t="shared" si="252"/>
        <v>71.202579999999998</v>
      </c>
      <c r="AG75" s="317">
        <f t="shared" si="252"/>
        <v>72.890416000000002</v>
      </c>
      <c r="AH75" s="317">
        <f t="shared" si="252"/>
        <v>73.803303999999997</v>
      </c>
      <c r="AI75" s="317">
        <f t="shared" si="252"/>
        <v>73.765981999999994</v>
      </c>
      <c r="AJ75" s="317">
        <f t="shared" si="252"/>
        <v>76.152642</v>
      </c>
      <c r="AK75" s="1106">
        <f t="shared" si="252"/>
        <v>76.152642</v>
      </c>
      <c r="AL75" s="317">
        <f t="shared" si="252"/>
        <v>76.064081999999999</v>
      </c>
      <c r="AM75" s="317">
        <f t="shared" si="252"/>
        <v>75.442338000000007</v>
      </c>
      <c r="AN75" s="317">
        <f>INDEX(MO_BSS_TBVPS,0,COLUMN())</f>
        <v>78.282668999999999</v>
      </c>
      <c r="AO75" s="317">
        <f t="shared" si="252"/>
        <v>82.777338</v>
      </c>
      <c r="AP75" s="1106">
        <f t="shared" si="252"/>
        <v>82.777338</v>
      </c>
      <c r="AQ75" s="317">
        <f t="shared" si="252"/>
        <v>84.214712000000006</v>
      </c>
      <c r="AR75" s="317">
        <f t="shared" si="253" ref="AR75:AW75">INDEX(MO_BSS_TBVPS,0,COLUMN())</f>
        <v>86.757514999999998</v>
      </c>
      <c r="AS75" s="317">
        <f t="shared" si="253"/>
        <v>87.495935000000003</v>
      </c>
      <c r="AT75" s="317">
        <f t="shared" si="253"/>
        <v>92.139302999999998</v>
      </c>
      <c r="AU75" s="1106">
        <f t="shared" si="253"/>
        <v>92.139302999999998</v>
      </c>
      <c r="AV75" s="317">
        <f t="shared" si="253"/>
        <v>94.516666999999998</v>
      </c>
      <c r="AW75" s="317">
        <f t="shared" si="253"/>
        <v>94.664980999999997</v>
      </c>
      <c r="AX75" s="317">
        <f t="shared" si="254" ref="AX75:BB75">INDEX(MO_BSS_TBVPS,0,COLUMN())</f>
        <v>94.186940000000007</v>
      </c>
      <c r="AY75" s="317">
        <f t="shared" si="254"/>
        <v>95.988798000000003</v>
      </c>
      <c r="AZ75" s="1106">
        <f t="shared" si="254"/>
        <v>95.988798000000003</v>
      </c>
      <c r="BA75" s="317">
        <f t="shared" si="254"/>
        <v>98.437229000000002</v>
      </c>
      <c r="BB75" s="317">
        <f t="shared" si="254"/>
        <v>97.160331999999997</v>
      </c>
      <c r="BC75" s="317">
        <f t="shared" si="255" ref="BC75:BJ75">INDEX(MO_BSS_TBVPS,0,COLUMN())</f>
        <v>97.526269999999997</v>
      </c>
      <c r="BD75" s="317">
        <f t="shared" si="255"/>
        <v>104.583699</v>
      </c>
      <c r="BE75" s="1106">
        <f t="shared" si="255"/>
        <v>104.583699</v>
      </c>
      <c r="BF75" s="317">
        <f t="shared" si="255"/>
        <v>105.681223</v>
      </c>
      <c r="BG75" s="317">
        <f t="shared" si="255"/>
        <v>106.63887699999999</v>
      </c>
      <c r="BH75" s="785">
        <f>INDEX(MO_BSS_TBVPS,0,COLUMN())</f>
        <v>111.26431700000001</v>
      </c>
      <c r="BI75" s="317">
        <f t="shared" ca="1" si="255"/>
        <v>116.59913299999999</v>
      </c>
      <c r="BJ75" s="1106">
        <f t="shared" ca="1" si="255"/>
        <v>116.59913299999999</v>
      </c>
      <c r="BK75" s="317">
        <f ca="1" t="shared" si="256" ref="BK75:BR75">INDEX(MO_BSS_TBVPS,0,COLUMN())</f>
        <v>121.28377</v>
      </c>
      <c r="BL75" s="317">
        <f t="shared" ca="1" si="256"/>
        <v>124.12846999999999</v>
      </c>
      <c r="BM75" s="317">
        <f t="shared" ca="1" si="256"/>
        <v>127.82819499999999</v>
      </c>
      <c r="BN75" s="317">
        <f t="shared" ca="1" si="256"/>
        <v>133.48231699999999</v>
      </c>
      <c r="BO75" s="1106">
        <f t="shared" ca="1" si="256"/>
        <v>133.48231699999999</v>
      </c>
      <c r="BP75" s="1106">
        <f t="shared" ca="1" si="256"/>
        <v>152.42260400000001</v>
      </c>
      <c r="BQ75" s="1106">
        <f t="shared" ca="1" si="256"/>
        <v>173.08032800000001</v>
      </c>
      <c r="BR75" s="1106">
        <f t="shared" ca="1" si="256"/>
        <v>191.549252</v>
      </c>
      <c r="BS75" s="274"/>
    </row>
    <row r="76" spans="1:71" s="187" customFormat="1" ht="15">
      <c r="A76" s="244"/>
      <c r="B76" s="245"/>
      <c r="C76" s="1106"/>
      <c r="D76" s="1106"/>
      <c r="E76" s="1106"/>
      <c r="F76" s="1106"/>
      <c r="G76" s="1106"/>
      <c r="H76" s="317"/>
      <c r="I76" s="317"/>
      <c r="J76" s="317"/>
      <c r="K76" s="317"/>
      <c r="L76" s="1106"/>
      <c r="M76" s="317"/>
      <c r="N76" s="317"/>
      <c r="O76" s="317"/>
      <c r="P76" s="317"/>
      <c r="Q76" s="1106"/>
      <c r="R76" s="317"/>
      <c r="S76" s="317"/>
      <c r="T76" s="317"/>
      <c r="U76" s="317"/>
      <c r="V76" s="1106"/>
      <c r="W76" s="317"/>
      <c r="X76" s="317"/>
      <c r="Y76" s="317"/>
      <c r="Z76" s="317"/>
      <c r="AA76" s="1106"/>
      <c r="AB76" s="317"/>
      <c r="AC76" s="317"/>
      <c r="AD76" s="317"/>
      <c r="AE76" s="317"/>
      <c r="AF76" s="1106"/>
      <c r="AG76" s="317"/>
      <c r="AH76" s="317"/>
      <c r="AI76" s="317"/>
      <c r="AJ76" s="317"/>
      <c r="AK76" s="1106"/>
      <c r="AL76" s="317"/>
      <c r="AM76" s="317"/>
      <c r="AN76" s="317"/>
      <c r="AO76" s="317"/>
      <c r="AP76" s="1106"/>
      <c r="AQ76" s="317"/>
      <c r="AR76" s="317"/>
      <c r="AS76" s="317"/>
      <c r="AT76" s="317"/>
      <c r="AU76" s="1106"/>
      <c r="AV76" s="317"/>
      <c r="AW76" s="317"/>
      <c r="AX76" s="317"/>
      <c r="AY76" s="317"/>
      <c r="AZ76" s="1106"/>
      <c r="BA76" s="317"/>
      <c r="BB76" s="317"/>
      <c r="BC76" s="317"/>
      <c r="BD76" s="317"/>
      <c r="BE76" s="1106"/>
      <c r="BF76" s="317"/>
      <c r="BG76" s="317"/>
      <c r="BH76" s="785"/>
      <c r="BI76" s="317"/>
      <c r="BJ76" s="1106"/>
      <c r="BK76" s="317"/>
      <c r="BL76" s="317"/>
      <c r="BM76" s="317"/>
      <c r="BN76" s="317"/>
      <c r="BO76" s="1106"/>
      <c r="BP76" s="1106"/>
      <c r="BQ76" s="1106"/>
      <c r="BR76" s="1106"/>
      <c r="BS76" s="274"/>
    </row>
    <row r="77" spans="1:71" ht="15">
      <c r="A77" s="142" t="s">
        <v>329</v>
      </c>
      <c r="B77" s="838"/>
      <c r="C77" s="891"/>
      <c r="D77" s="891"/>
      <c r="E77" s="891"/>
      <c r="F77" s="891"/>
      <c r="G77" s="891"/>
      <c r="H77" s="891"/>
      <c r="I77" s="891"/>
      <c r="J77" s="891"/>
      <c r="K77" s="891"/>
      <c r="L77" s="891"/>
      <c r="M77" s="891"/>
      <c r="N77" s="891"/>
      <c r="O77" s="891"/>
      <c r="P77" s="891"/>
      <c r="Q77" s="891"/>
      <c r="R77" s="891"/>
      <c r="S77" s="891"/>
      <c r="T77" s="891"/>
      <c r="U77" s="891"/>
      <c r="V77" s="891"/>
      <c r="W77" s="891"/>
      <c r="X77" s="891"/>
      <c r="Y77" s="891"/>
      <c r="Z77" s="891"/>
      <c r="AA77" s="891"/>
      <c r="AB77" s="891"/>
      <c r="AC77" s="891"/>
      <c r="AD77" s="891"/>
      <c r="AE77" s="891"/>
      <c r="AF77" s="891"/>
      <c r="AG77" s="891"/>
      <c r="AH77" s="891"/>
      <c r="AI77" s="891"/>
      <c r="AJ77" s="891"/>
      <c r="AK77" s="891"/>
      <c r="AL77" s="891"/>
      <c r="AM77" s="891"/>
      <c r="AN77" s="891"/>
      <c r="AO77" s="891"/>
      <c r="AP77" s="891"/>
      <c r="AQ77" s="891"/>
      <c r="AR77" s="891"/>
      <c r="AS77" s="891"/>
      <c r="AT77" s="891"/>
      <c r="AU77" s="891"/>
      <c r="AV77" s="891"/>
      <c r="AW77" s="891"/>
      <c r="AX77" s="891"/>
      <c r="AY77" s="891"/>
      <c r="AZ77" s="891"/>
      <c r="BA77" s="891"/>
      <c r="BB77" s="891"/>
      <c r="BC77" s="891"/>
      <c r="BD77" s="891"/>
      <c r="BE77" s="891"/>
      <c r="BF77" s="891"/>
      <c r="BG77" s="891"/>
      <c r="BH77" s="892"/>
      <c r="BI77" s="891"/>
      <c r="BJ77" s="891"/>
      <c r="BK77" s="891"/>
      <c r="BL77" s="891"/>
      <c r="BM77" s="891"/>
      <c r="BN77" s="891"/>
      <c r="BO77" s="891"/>
      <c r="BP77" s="891"/>
      <c r="BQ77" s="891"/>
      <c r="BR77" s="891"/>
      <c r="BS77" s="839"/>
    </row>
    <row r="78" spans="1:71" s="55" customFormat="1" ht="15">
      <c r="A78" s="252" t="str">
        <f>INDEX(MO_VA_P_ToE,0,COLUMN())</f>
        <v>P/E - EoP</v>
      </c>
      <c r="B78" s="253"/>
      <c r="C78" s="1129">
        <f>INDEX(MO_VA_P_ToE,0,COLUMN())</f>
        <v>7.9893307240704496</v>
      </c>
      <c r="D78" s="1129">
        <f>INDEX(MO_VA_P_ToE,0,COLUMN())</f>
        <v>8.8735264900662258</v>
      </c>
      <c r="E78" s="1129">
        <f>INDEX(MO_VA_P_ToE,0,COLUMN())</f>
        <v>18.042773749093548</v>
      </c>
      <c r="F78" s="1129">
        <f>INDEX(MO_VA_P_ToE,0,COLUMN())</f>
        <v>11.465463253509496</v>
      </c>
      <c r="G78" s="1129">
        <f>INDEX(MO_VA_P_ToE,0,COLUMN())</f>
        <v>9.5457073446327687</v>
      </c>
      <c r="H78" s="174"/>
      <c r="I78" s="174"/>
      <c r="J78" s="174"/>
      <c r="K78" s="174"/>
      <c r="L78" s="1129">
        <f>INDEX(MO_VA_P_ToE,0,COLUMN())</f>
        <v>10.133792197011621</v>
      </c>
      <c r="M78" s="174"/>
      <c r="N78" s="174"/>
      <c r="O78" s="174"/>
      <c r="P78" s="174"/>
      <c r="Q78" s="1129">
        <f>INDEX(MO_VA_P_ToE,0,COLUMN())</f>
        <v>10.514546014067996</v>
      </c>
      <c r="R78" s="174"/>
      <c r="S78" s="175"/>
      <c r="T78" s="175"/>
      <c r="U78" s="174"/>
      <c r="V78" s="1129">
        <f>INDEX(MO_VA_P_ToE,0,COLUMN())</f>
        <v>12.096509337860782</v>
      </c>
      <c r="W78" s="175"/>
      <c r="X78" s="175"/>
      <c r="Y78" s="175"/>
      <c r="Z78" s="175"/>
      <c r="AA78" s="1129">
        <f>INDEX(MO_VA_P_ToE,0,COLUMN())</f>
        <v>18.63377909270217</v>
      </c>
      <c r="AB78" s="175"/>
      <c r="AC78" s="175"/>
      <c r="AD78" s="175"/>
      <c r="AE78" s="175"/>
      <c r="AF78" s="1129">
        <f>INDEX(MO_VA_P_ToE,0,COLUMN())</f>
        <v>13.231502281211116</v>
      </c>
      <c r="AG78" s="175"/>
      <c r="AH78" s="175"/>
      <c r="AI78" s="175"/>
      <c r="AJ78" s="175"/>
      <c r="AK78" s="1129">
        <f>INDEX(MO_VA_P_ToE,0,COLUMN())</f>
        <v>14.218160047656873</v>
      </c>
      <c r="AL78" s="175"/>
      <c r="AM78" s="175"/>
      <c r="AN78" s="175"/>
      <c r="AO78" s="175"/>
      <c r="AP78" s="1129">
        <f>INDEX(MO_VA_P_ToE,0,COLUMN())</f>
        <v>13.277003374578179</v>
      </c>
      <c r="AQ78" s="175"/>
      <c r="AR78" s="175"/>
      <c r="AS78" s="175"/>
      <c r="AT78" s="175"/>
      <c r="AU78" s="1129">
        <f>INDEX(MO_VA_P_ToE,0,COLUMN())</f>
        <v>11.252631759656653</v>
      </c>
      <c r="AV78" s="175"/>
      <c r="AW78" s="175"/>
      <c r="AX78" s="175"/>
      <c r="AY78" s="175"/>
      <c r="AZ78" s="1129">
        <f>INDEX(MO_VA_P_ToE,0,COLUMN())</f>
        <v>15.091119207521826</v>
      </c>
      <c r="BA78" s="175"/>
      <c r="BB78" s="175"/>
      <c r="BC78" s="175"/>
      <c r="BD78" s="175"/>
      <c r="BE78" s="1129">
        <f>INDEX(MO_VA_P_ToE,0,COLUMN())</f>
        <v>14.502222295081967</v>
      </c>
      <c r="BF78" s="175"/>
      <c r="BG78" s="175"/>
      <c r="BH78" s="803"/>
      <c r="BI78" s="175"/>
      <c r="BJ78" s="1129">
        <f ca="1">INDEX(MO_VA_P_ToE,0,COLUMN())</f>
        <v>13.023221123937423</v>
      </c>
      <c r="BK78" s="175"/>
      <c r="BL78" s="175"/>
      <c r="BM78" s="175"/>
      <c r="BN78" s="175"/>
      <c r="BO78" s="1129">
        <f ca="1">INDEX(MO_VA_P_ToE,0,COLUMN())</f>
        <v>11.838504712559123</v>
      </c>
      <c r="BP78" s="1129">
        <f ca="1">INDEX(MO_VA_P_ToE,0,COLUMN())</f>
        <v>10.770905483753694</v>
      </c>
      <c r="BQ78" s="1129">
        <f ca="1">INDEX(MO_VA_P_ToE,0,COLUMN())</f>
        <v>10.008825054627392</v>
      </c>
      <c r="BR78" s="1129">
        <f ca="1">INDEX(MO_VA_P_ToE,0,COLUMN())</f>
        <v>10.990005214347658</v>
      </c>
      <c r="BS78" s="175"/>
    </row>
    <row r="79" spans="1:71" s="55" customFormat="1" ht="15">
      <c r="A79" s="252" t="str">
        <f>INDEX(MO_VA_P_ToB,0,COLUMN())</f>
        <v>P/B - EoP</v>
      </c>
      <c r="B79" s="253"/>
      <c r="C79" s="1129">
        <f>INDEX(MO_VA_P_ToB,0,COLUMN())</f>
        <v>0.95662415595904904</v>
      </c>
      <c r="D79" s="1129">
        <f>INDEX(MO_VA_P_ToB,0,COLUMN())</f>
        <v>0.95004070515599615</v>
      </c>
      <c r="E79" s="1129">
        <f>INDEX(MO_VA_P_ToB,0,COLUMN())</f>
        <v>0.9495434865481206</v>
      </c>
      <c r="F79" s="1129">
        <f>INDEX(MO_VA_P_ToB,0,COLUMN())</f>
        <v>1.0582946704449747</v>
      </c>
      <c r="G79" s="1129">
        <f>INDEX(MO_VA_P_ToB,0,COLUMN())</f>
        <v>1.2870616149526792</v>
      </c>
      <c r="H79" s="174"/>
      <c r="I79" s="174"/>
      <c r="J79" s="174"/>
      <c r="K79" s="174"/>
      <c r="L79" s="1129">
        <f>INDEX(MO_VA_P_ToB,0,COLUMN())</f>
        <v>1.3872139711193028</v>
      </c>
      <c r="M79" s="174"/>
      <c r="N79" s="174"/>
      <c r="O79" s="174"/>
      <c r="P79" s="174"/>
      <c r="Q79" s="1129">
        <f>INDEX(MO_VA_P_ToB,0,COLUMN())</f>
        <v>1.4331049577531845</v>
      </c>
      <c r="R79" s="174"/>
      <c r="S79" s="175"/>
      <c r="T79" s="175"/>
      <c r="U79" s="174"/>
      <c r="V79" s="1129">
        <f>INDEX(MO_VA_P_ToB,0,COLUMN())</f>
        <v>1.4740378077332368</v>
      </c>
      <c r="W79" s="175"/>
      <c r="X79" s="175"/>
      <c r="Y79" s="175"/>
      <c r="Z79" s="175"/>
      <c r="AA79" s="1129">
        <f>INDEX(MO_VA_P_ToB,0,COLUMN())</f>
        <v>1.5512492542818663</v>
      </c>
      <c r="AB79" s="175"/>
      <c r="AC79" s="175"/>
      <c r="AD79" s="175"/>
      <c r="AE79" s="175"/>
      <c r="AF79" s="1129">
        <f>INDEX(MO_VA_P_ToB,0,COLUMN())</f>
        <v>1.3614075277408082</v>
      </c>
      <c r="AG79" s="175"/>
      <c r="AH79" s="175"/>
      <c r="AI79" s="175"/>
      <c r="AJ79" s="175"/>
      <c r="AK79" s="1129">
        <f>INDEX(MO_VA_P_ToB,0,COLUMN())</f>
        <v>1.3442236889067125</v>
      </c>
      <c r="AL79" s="175"/>
      <c r="AM79" s="175"/>
      <c r="AN79" s="175"/>
      <c r="AO79" s="175"/>
      <c r="AP79" s="1129">
        <f>INDEX(MO_VA_P_ToB,0,COLUMN())</f>
        <v>1.2021434871828065</v>
      </c>
      <c r="AQ79" s="175"/>
      <c r="AR79" s="175"/>
      <c r="AS79" s="175"/>
      <c r="AT79" s="175"/>
      <c r="AU79" s="1129">
        <f>INDEX(MO_VA_P_ToB,0,COLUMN())</f>
        <v>1.3093284824025366</v>
      </c>
      <c r="AV79" s="175"/>
      <c r="AW79" s="175"/>
      <c r="AX79" s="175"/>
      <c r="AY79" s="175"/>
      <c r="AZ79" s="1129">
        <f>INDEX(MO_VA_P_ToB,0,COLUMN())</f>
        <v>2.0183872505618008</v>
      </c>
      <c r="BA79" s="175"/>
      <c r="BB79" s="175"/>
      <c r="BC79" s="175"/>
      <c r="BD79" s="175"/>
      <c r="BE79" s="1129">
        <f>INDEX(MO_VA_P_ToB,0,COLUMN())</f>
        <v>1.744304724660277</v>
      </c>
      <c r="BF79" s="175"/>
      <c r="BG79" s="175"/>
      <c r="BH79" s="803"/>
      <c r="BI79" s="175"/>
      <c r="BJ79" s="1129">
        <f ca="1">INDEX(MO_VA_P_ToB,0,COLUMN())</f>
        <v>1.907830078593804</v>
      </c>
      <c r="BK79" s="175"/>
      <c r="BL79" s="175"/>
      <c r="BM79" s="175"/>
      <c r="BN79" s="175"/>
      <c r="BO79" s="1129">
        <f ca="1">INDEX(MO_VA_P_ToB,0,COLUMN())</f>
        <v>1.6844995622901209</v>
      </c>
      <c r="BP79" s="1129">
        <f ca="1">INDEX(MO_VA_P_ToB,0,COLUMN())</f>
        <v>1.4889643989378298</v>
      </c>
      <c r="BQ79" s="1129">
        <f ca="1">INDEX(MO_VA_P_ToB,0,COLUMN())</f>
        <v>1.3216387138492032</v>
      </c>
      <c r="BR79" s="1129">
        <f ca="1">INDEX(MO_VA_P_ToB,0,COLUMN())</f>
        <v>1.2009763267718616</v>
      </c>
      <c r="BS79" s="175"/>
    </row>
    <row r="80" spans="1:71" s="56" customFormat="1" ht="15">
      <c r="A80" s="251"/>
      <c r="B80" s="243"/>
      <c r="C80" s="1128"/>
      <c r="D80" s="1128"/>
      <c r="E80" s="1128"/>
      <c r="F80" s="1128"/>
      <c r="G80" s="1128"/>
      <c r="H80" s="172"/>
      <c r="I80" s="172"/>
      <c r="J80" s="172"/>
      <c r="K80" s="172"/>
      <c r="L80" s="1128"/>
      <c r="M80" s="172"/>
      <c r="N80" s="172"/>
      <c r="O80" s="172"/>
      <c r="P80" s="172"/>
      <c r="Q80" s="1128"/>
      <c r="R80" s="172"/>
      <c r="S80" s="172"/>
      <c r="T80" s="172"/>
      <c r="U80" s="172"/>
      <c r="V80" s="1128"/>
      <c r="W80" s="172"/>
      <c r="X80" s="172"/>
      <c r="Y80" s="172"/>
      <c r="Z80" s="172"/>
      <c r="AA80" s="1128"/>
      <c r="AB80" s="172"/>
      <c r="AC80" s="172"/>
      <c r="AD80" s="172"/>
      <c r="AE80" s="172"/>
      <c r="AF80" s="1128"/>
      <c r="AG80" s="172"/>
      <c r="AH80" s="172"/>
      <c r="AI80" s="172"/>
      <c r="AJ80" s="172"/>
      <c r="AK80" s="1128"/>
      <c r="AL80" s="172"/>
      <c r="AM80" s="172"/>
      <c r="AN80" s="172"/>
      <c r="AO80" s="172"/>
      <c r="AP80" s="1128"/>
      <c r="AQ80" s="172"/>
      <c r="AR80" s="172"/>
      <c r="AS80" s="172"/>
      <c r="AT80" s="172"/>
      <c r="AU80" s="1128"/>
      <c r="AV80" s="172"/>
      <c r="AW80" s="172"/>
      <c r="AX80" s="172"/>
      <c r="AY80" s="172"/>
      <c r="AZ80" s="1128"/>
      <c r="BA80" s="172"/>
      <c r="BB80" s="172"/>
      <c r="BC80" s="172"/>
      <c r="BD80" s="172"/>
      <c r="BE80" s="1128"/>
      <c r="BF80" s="172"/>
      <c r="BG80" s="172"/>
      <c r="BH80" s="802"/>
      <c r="BI80" s="172"/>
      <c r="BJ80" s="1128"/>
      <c r="BK80" s="172"/>
      <c r="BL80" s="172"/>
      <c r="BM80" s="172"/>
      <c r="BN80" s="172"/>
      <c r="BO80" s="1128"/>
      <c r="BP80" s="1128"/>
      <c r="BQ80" s="1128"/>
      <c r="BR80" s="1128"/>
      <c r="BS80" s="155"/>
    </row>
    <row r="81" spans="1:71" ht="15">
      <c r="A81" s="142" t="s">
        <v>330</v>
      </c>
      <c r="B81" s="838"/>
      <c r="C81" s="891"/>
      <c r="D81" s="891"/>
      <c r="E81" s="891"/>
      <c r="F81" s="891"/>
      <c r="G81" s="891"/>
      <c r="H81" s="891"/>
      <c r="I81" s="891"/>
      <c r="J81" s="891"/>
      <c r="K81" s="891"/>
      <c r="L81" s="891"/>
      <c r="M81" s="891"/>
      <c r="N81" s="891"/>
      <c r="O81" s="891"/>
      <c r="P81" s="891"/>
      <c r="Q81" s="891"/>
      <c r="R81" s="891"/>
      <c r="S81" s="891"/>
      <c r="T81" s="891"/>
      <c r="U81" s="891"/>
      <c r="V81" s="891"/>
      <c r="W81" s="891"/>
      <c r="X81" s="891"/>
      <c r="Y81" s="891"/>
      <c r="Z81" s="891"/>
      <c r="AA81" s="891"/>
      <c r="AB81" s="891"/>
      <c r="AC81" s="891"/>
      <c r="AD81" s="891"/>
      <c r="AE81" s="891"/>
      <c r="AF81" s="891"/>
      <c r="AG81" s="891"/>
      <c r="AH81" s="891"/>
      <c r="AI81" s="891"/>
      <c r="AJ81" s="891"/>
      <c r="AK81" s="891"/>
      <c r="AL81" s="891"/>
      <c r="AM81" s="891"/>
      <c r="AN81" s="891"/>
      <c r="AO81" s="891"/>
      <c r="AP81" s="891"/>
      <c r="AQ81" s="891"/>
      <c r="AR81" s="891"/>
      <c r="AS81" s="891"/>
      <c r="AT81" s="891"/>
      <c r="AU81" s="891"/>
      <c r="AV81" s="891"/>
      <c r="AW81" s="891"/>
      <c r="AX81" s="891"/>
      <c r="AY81" s="891"/>
      <c r="AZ81" s="891"/>
      <c r="BA81" s="891"/>
      <c r="BB81" s="891"/>
      <c r="BC81" s="891"/>
      <c r="BD81" s="891"/>
      <c r="BE81" s="891"/>
      <c r="BF81" s="891"/>
      <c r="BG81" s="891"/>
      <c r="BH81" s="892"/>
      <c r="BI81" s="891"/>
      <c r="BJ81" s="891"/>
      <c r="BK81" s="891"/>
      <c r="BL81" s="891"/>
      <c r="BM81" s="891"/>
      <c r="BN81" s="891"/>
      <c r="BO81" s="891"/>
      <c r="BP81" s="891"/>
      <c r="BQ81" s="891"/>
      <c r="BR81" s="891"/>
      <c r="BS81" s="155"/>
    </row>
    <row r="82" spans="1:71" ht="15" hidden="1" outlineLevel="1">
      <c r="A82" s="839" t="s">
        <v>331</v>
      </c>
      <c r="B82" s="254"/>
      <c r="C82" s="899">
        <f t="shared" si="257" ref="C82:AQ82">ROUND(INDEX(SP_GF_NI,0,COLUMN())-INDEX(MO_RIS_NI_GAAP_Basic,0,COLUMN()),6)</f>
        <v>0</v>
      </c>
      <c r="D82" s="899">
        <f t="shared" si="257"/>
        <v>0</v>
      </c>
      <c r="E82" s="899">
        <f t="shared" si="257"/>
        <v>0</v>
      </c>
      <c r="F82" s="899">
        <f t="shared" si="257"/>
        <v>0</v>
      </c>
      <c r="G82" s="899">
        <f t="shared" si="257"/>
        <v>0</v>
      </c>
      <c r="H82" s="899">
        <f t="shared" si="257"/>
        <v>0</v>
      </c>
      <c r="I82" s="899">
        <f t="shared" si="257"/>
        <v>0</v>
      </c>
      <c r="J82" s="899">
        <f t="shared" si="257"/>
        <v>0</v>
      </c>
      <c r="K82" s="899">
        <f t="shared" si="257"/>
        <v>0</v>
      </c>
      <c r="L82" s="899">
        <f t="shared" si="257"/>
        <v>0</v>
      </c>
      <c r="M82" s="899">
        <f t="shared" si="257"/>
        <v>0</v>
      </c>
      <c r="N82" s="899">
        <f t="shared" si="257"/>
        <v>0</v>
      </c>
      <c r="O82" s="899">
        <f t="shared" si="257"/>
        <v>0</v>
      </c>
      <c r="P82" s="899">
        <f t="shared" si="257"/>
        <v>0</v>
      </c>
      <c r="Q82" s="899">
        <f t="shared" si="257"/>
        <v>0</v>
      </c>
      <c r="R82" s="899">
        <f t="shared" si="257"/>
        <v>0</v>
      </c>
      <c r="S82" s="899">
        <f t="shared" si="257"/>
        <v>0</v>
      </c>
      <c r="T82" s="899">
        <f t="shared" si="257"/>
        <v>0</v>
      </c>
      <c r="U82" s="899">
        <f t="shared" si="257"/>
        <v>0</v>
      </c>
      <c r="V82" s="899">
        <f t="shared" si="257"/>
        <v>0</v>
      </c>
      <c r="W82" s="899">
        <f t="shared" si="257"/>
        <v>0</v>
      </c>
      <c r="X82" s="899">
        <f t="shared" si="257"/>
        <v>0</v>
      </c>
      <c r="Y82" s="899">
        <f t="shared" si="257"/>
        <v>0</v>
      </c>
      <c r="Z82" s="899">
        <f t="shared" si="257"/>
        <v>0</v>
      </c>
      <c r="AA82" s="899">
        <f t="shared" si="257"/>
        <v>0</v>
      </c>
      <c r="AB82" s="899">
        <f t="shared" si="257"/>
        <v>0</v>
      </c>
      <c r="AC82" s="899">
        <f t="shared" si="257"/>
        <v>0</v>
      </c>
      <c r="AD82" s="899">
        <f t="shared" si="257"/>
        <v>0</v>
      </c>
      <c r="AE82" s="899">
        <f t="shared" si="257"/>
        <v>0</v>
      </c>
      <c r="AF82" s="899">
        <f t="shared" si="257"/>
        <v>0</v>
      </c>
      <c r="AG82" s="899">
        <f t="shared" si="257"/>
        <v>0</v>
      </c>
      <c r="AH82" s="899">
        <f t="shared" si="257"/>
        <v>0</v>
      </c>
      <c r="AI82" s="899">
        <f t="shared" si="257"/>
        <v>0</v>
      </c>
      <c r="AJ82" s="899">
        <f t="shared" si="257"/>
        <v>0</v>
      </c>
      <c r="AK82" s="899">
        <f t="shared" si="257"/>
        <v>0</v>
      </c>
      <c r="AL82" s="899">
        <f t="shared" si="257"/>
        <v>0</v>
      </c>
      <c r="AM82" s="899">
        <f t="shared" si="257"/>
        <v>0</v>
      </c>
      <c r="AN82" s="899">
        <f>ROUND(INDEX(SP_GF_NI,0,COLUMN())-INDEX(MO_RIS_NI_GAAP_Basic,0,COLUMN()),6)</f>
        <v>0</v>
      </c>
      <c r="AO82" s="899">
        <f t="shared" si="257"/>
        <v>0</v>
      </c>
      <c r="AP82" s="899">
        <f t="shared" si="257"/>
        <v>0</v>
      </c>
      <c r="AQ82" s="899">
        <f t="shared" si="257"/>
        <v>0</v>
      </c>
      <c r="AR82" s="899">
        <f t="shared" si="258" ref="AR82:AW82">ROUND(INDEX(SP_GF_NI,0,COLUMN())-INDEX(MO_RIS_NI_GAAP_Basic,0,COLUMN()),6)</f>
        <v>0</v>
      </c>
      <c r="AS82" s="899">
        <f t="shared" si="258"/>
        <v>0</v>
      </c>
      <c r="AT82" s="899">
        <f t="shared" si="258"/>
        <v>0</v>
      </c>
      <c r="AU82" s="899">
        <f t="shared" si="258"/>
        <v>0</v>
      </c>
      <c r="AV82" s="899">
        <f t="shared" si="258"/>
        <v>0</v>
      </c>
      <c r="AW82" s="899">
        <f t="shared" si="258"/>
        <v>0</v>
      </c>
      <c r="AX82" s="899">
        <f t="shared" si="259" ref="AX82:BB82">ROUND(INDEX(SP_GF_NI,0,COLUMN())-INDEX(MO_RIS_NI_GAAP_Basic,0,COLUMN()),6)</f>
        <v>0</v>
      </c>
      <c r="AY82" s="899">
        <f t="shared" si="259"/>
        <v>0</v>
      </c>
      <c r="AZ82" s="899">
        <f t="shared" si="259"/>
        <v>0</v>
      </c>
      <c r="BA82" s="899">
        <f t="shared" si="259"/>
        <v>0</v>
      </c>
      <c r="BB82" s="899">
        <f t="shared" si="259"/>
        <v>0</v>
      </c>
      <c r="BC82" s="899">
        <f t="shared" si="260" ref="BC82:BJ82">ROUND(INDEX(SP_GF_NI,0,COLUMN())-INDEX(MO_RIS_NI_GAAP_Basic,0,COLUMN()),6)</f>
        <v>0</v>
      </c>
      <c r="BD82" s="899">
        <f t="shared" si="260"/>
        <v>0</v>
      </c>
      <c r="BE82" s="899">
        <f t="shared" si="260"/>
        <v>0</v>
      </c>
      <c r="BF82" s="899">
        <f t="shared" si="260"/>
        <v>0</v>
      </c>
      <c r="BG82" s="899">
        <f t="shared" si="260"/>
        <v>0</v>
      </c>
      <c r="BH82" s="900">
        <f>ROUND(INDEX(SP_GF_NI,0,COLUMN())-INDEX(MO_RIS_NI_GAAP_Basic,0,COLUMN()),6)</f>
        <v>0</v>
      </c>
      <c r="BI82" s="899">
        <f t="shared" si="260"/>
        <v>0</v>
      </c>
      <c r="BJ82" s="899">
        <f t="shared" si="260"/>
        <v>0</v>
      </c>
      <c r="BK82" s="899">
        <f t="shared" si="261" ref="BK82:BR82">ROUND(INDEX(SP_GF_NI,0,COLUMN())-INDEX(MO_RIS_NI_GAAP_Basic,0,COLUMN()),6)</f>
        <v>0</v>
      </c>
      <c r="BL82" s="899">
        <f t="shared" si="261"/>
        <v>0</v>
      </c>
      <c r="BM82" s="899">
        <f t="shared" si="261"/>
        <v>0</v>
      </c>
      <c r="BN82" s="899">
        <f t="shared" si="261"/>
        <v>0</v>
      </c>
      <c r="BO82" s="899">
        <f t="shared" si="261"/>
        <v>0</v>
      </c>
      <c r="BP82" s="899">
        <f t="shared" si="261"/>
        <v>0</v>
      </c>
      <c r="BQ82" s="899">
        <f t="shared" si="261"/>
        <v>0</v>
      </c>
      <c r="BR82" s="899">
        <f t="shared" si="261"/>
        <v>0</v>
      </c>
      <c r="BS82" s="155"/>
    </row>
    <row r="83" spans="1:71" ht="15" hidden="1" outlineLevel="1">
      <c r="A83" s="839" t="s">
        <v>332</v>
      </c>
      <c r="B83" s="254"/>
      <c r="C83" s="899">
        <f t="shared" si="262" ref="C83:AQ83">ROUND(INDEX(SP_UI_UI,0,COLUMN())-INDEX(MO_UI_UI,0,COLUMN()),5)</f>
        <v>0</v>
      </c>
      <c r="D83" s="899">
        <f t="shared" si="262"/>
        <v>0</v>
      </c>
      <c r="E83" s="899">
        <f t="shared" si="262"/>
        <v>0</v>
      </c>
      <c r="F83" s="899">
        <f t="shared" si="262"/>
        <v>0</v>
      </c>
      <c r="G83" s="899">
        <f t="shared" si="262"/>
        <v>0</v>
      </c>
      <c r="H83" s="899">
        <f t="shared" si="262"/>
        <v>0</v>
      </c>
      <c r="I83" s="899">
        <f t="shared" si="262"/>
        <v>0</v>
      </c>
      <c r="J83" s="899">
        <f t="shared" si="262"/>
        <v>0</v>
      </c>
      <c r="K83" s="899">
        <f t="shared" si="262"/>
        <v>0</v>
      </c>
      <c r="L83" s="899">
        <f t="shared" si="262"/>
        <v>0</v>
      </c>
      <c r="M83" s="899">
        <f t="shared" si="262"/>
        <v>0</v>
      </c>
      <c r="N83" s="899">
        <f t="shared" si="262"/>
        <v>0</v>
      </c>
      <c r="O83" s="899">
        <f t="shared" si="262"/>
        <v>0</v>
      </c>
      <c r="P83" s="899">
        <f t="shared" si="262"/>
        <v>0</v>
      </c>
      <c r="Q83" s="899">
        <f t="shared" si="262"/>
        <v>0</v>
      </c>
      <c r="R83" s="899">
        <f t="shared" si="262"/>
        <v>0</v>
      </c>
      <c r="S83" s="899">
        <f t="shared" si="262"/>
        <v>0</v>
      </c>
      <c r="T83" s="899">
        <f t="shared" si="262"/>
        <v>0</v>
      </c>
      <c r="U83" s="899">
        <f t="shared" si="262"/>
        <v>0</v>
      </c>
      <c r="V83" s="899">
        <f t="shared" si="262"/>
        <v>0</v>
      </c>
      <c r="W83" s="899">
        <f t="shared" si="262"/>
        <v>0</v>
      </c>
      <c r="X83" s="899">
        <f t="shared" si="262"/>
        <v>0</v>
      </c>
      <c r="Y83" s="899">
        <f t="shared" si="262"/>
        <v>0</v>
      </c>
      <c r="Z83" s="899">
        <f t="shared" si="262"/>
        <v>0</v>
      </c>
      <c r="AA83" s="899">
        <f t="shared" si="262"/>
        <v>0</v>
      </c>
      <c r="AB83" s="899">
        <f t="shared" si="262"/>
        <v>0</v>
      </c>
      <c r="AC83" s="899">
        <f t="shared" si="262"/>
        <v>0</v>
      </c>
      <c r="AD83" s="899">
        <f t="shared" si="262"/>
        <v>0</v>
      </c>
      <c r="AE83" s="899">
        <f t="shared" si="262"/>
        <v>0</v>
      </c>
      <c r="AF83" s="899">
        <f t="shared" si="262"/>
        <v>0</v>
      </c>
      <c r="AG83" s="899">
        <f t="shared" si="262"/>
        <v>0</v>
      </c>
      <c r="AH83" s="899">
        <f t="shared" si="262"/>
        <v>0</v>
      </c>
      <c r="AI83" s="899">
        <f t="shared" si="262"/>
        <v>0</v>
      </c>
      <c r="AJ83" s="899">
        <f t="shared" si="262"/>
        <v>0</v>
      </c>
      <c r="AK83" s="899">
        <f t="shared" si="262"/>
        <v>0</v>
      </c>
      <c r="AL83" s="899">
        <f t="shared" si="262"/>
        <v>0</v>
      </c>
      <c r="AM83" s="899">
        <f t="shared" si="262"/>
        <v>0</v>
      </c>
      <c r="AN83" s="899">
        <f>ROUND(INDEX(SP_UI_UI,0,COLUMN())-INDEX(MO_UI_UI,0,COLUMN()),5)</f>
        <v>0</v>
      </c>
      <c r="AO83" s="899">
        <f t="shared" si="262"/>
        <v>0</v>
      </c>
      <c r="AP83" s="899">
        <f t="shared" si="262"/>
        <v>0</v>
      </c>
      <c r="AQ83" s="899">
        <f t="shared" si="262"/>
        <v>0</v>
      </c>
      <c r="AR83" s="899">
        <f t="shared" si="263" ref="AR83:AW83">ROUND(INDEX(SP_UI_UI,0,COLUMN())-INDEX(MO_UI_UI,0,COLUMN()),5)</f>
        <v>0</v>
      </c>
      <c r="AS83" s="899">
        <f t="shared" si="263"/>
        <v>0</v>
      </c>
      <c r="AT83" s="899">
        <f t="shared" si="263"/>
        <v>0</v>
      </c>
      <c r="AU83" s="899">
        <f t="shared" si="263"/>
        <v>0</v>
      </c>
      <c r="AV83" s="899">
        <f t="shared" si="263"/>
        <v>0</v>
      </c>
      <c r="AW83" s="899">
        <f t="shared" si="263"/>
        <v>0</v>
      </c>
      <c r="AX83" s="899">
        <f t="shared" si="264" ref="AX83:BB83">ROUND(INDEX(SP_UI_UI,0,COLUMN())-INDEX(MO_UI_UI,0,COLUMN()),5)</f>
        <v>0</v>
      </c>
      <c r="AY83" s="899">
        <f t="shared" si="264"/>
        <v>0</v>
      </c>
      <c r="AZ83" s="899">
        <f t="shared" si="264"/>
        <v>0</v>
      </c>
      <c r="BA83" s="899">
        <f t="shared" si="264"/>
        <v>0</v>
      </c>
      <c r="BB83" s="899">
        <f t="shared" si="264"/>
        <v>0</v>
      </c>
      <c r="BC83" s="899">
        <f t="shared" si="265" ref="BC83:BJ83">ROUND(INDEX(SP_UI_UI,0,COLUMN())-INDEX(MO_UI_UI,0,COLUMN()),5)</f>
        <v>0</v>
      </c>
      <c r="BD83" s="899">
        <f t="shared" si="265"/>
        <v>0</v>
      </c>
      <c r="BE83" s="899">
        <f t="shared" si="265"/>
        <v>0</v>
      </c>
      <c r="BF83" s="899">
        <f t="shared" si="265"/>
        <v>0</v>
      </c>
      <c r="BG83" s="899">
        <f t="shared" si="265"/>
        <v>0</v>
      </c>
      <c r="BH83" s="900">
        <f>ROUND(INDEX(SP_UI_UI,0,COLUMN())-INDEX(MO_UI_UI,0,COLUMN()),5)</f>
        <v>0</v>
      </c>
      <c r="BI83" s="899">
        <f t="shared" si="265"/>
        <v>0</v>
      </c>
      <c r="BJ83" s="899">
        <f t="shared" si="265"/>
        <v>0</v>
      </c>
      <c r="BK83" s="899">
        <f t="shared" si="266" ref="BK83:BR83">ROUND(INDEX(SP_UI_UI,0,COLUMN())-INDEX(MO_UI_UI,0,COLUMN()),5)</f>
        <v>0</v>
      </c>
      <c r="BL83" s="899">
        <f t="shared" si="266"/>
        <v>0</v>
      </c>
      <c r="BM83" s="899">
        <f t="shared" si="266"/>
        <v>0</v>
      </c>
      <c r="BN83" s="899">
        <f t="shared" si="266"/>
        <v>0</v>
      </c>
      <c r="BO83" s="899">
        <f t="shared" si="266"/>
        <v>0</v>
      </c>
      <c r="BP83" s="899">
        <f t="shared" si="266"/>
        <v>0</v>
      </c>
      <c r="BQ83" s="899">
        <f t="shared" si="266"/>
        <v>0</v>
      </c>
      <c r="BR83" s="899">
        <f t="shared" si="266"/>
        <v>0</v>
      </c>
      <c r="BS83" s="155"/>
    </row>
    <row r="84" spans="1:71" ht="15" collapsed="1">
      <c r="A84" s="155"/>
      <c r="B84" s="155"/>
      <c r="C84" s="1114"/>
      <c r="D84" s="1114"/>
      <c r="E84" s="1114"/>
      <c r="F84" s="1114"/>
      <c r="G84" s="1114"/>
      <c r="H84" s="155"/>
      <c r="I84" s="155"/>
      <c r="J84" s="155"/>
      <c r="K84" s="155"/>
      <c r="L84" s="1114"/>
      <c r="M84" s="155"/>
      <c r="N84" s="155"/>
      <c r="O84" s="155"/>
      <c r="P84" s="155"/>
      <c r="Q84" s="1114"/>
      <c r="R84" s="155"/>
      <c r="S84" s="155"/>
      <c r="T84" s="155"/>
      <c r="U84" s="155"/>
      <c r="V84" s="1114"/>
      <c r="W84" s="155"/>
      <c r="X84" s="155"/>
      <c r="Y84" s="155"/>
      <c r="Z84" s="155"/>
      <c r="AA84" s="1114"/>
      <c r="AB84" s="155"/>
      <c r="AC84" s="155"/>
      <c r="AD84" s="155"/>
      <c r="AE84" s="155"/>
      <c r="AF84" s="1114"/>
      <c r="AG84" s="155"/>
      <c r="AH84" s="155"/>
      <c r="AI84" s="155"/>
      <c r="AJ84" s="155"/>
      <c r="AK84" s="1114"/>
      <c r="AL84" s="155"/>
      <c r="AM84" s="155"/>
      <c r="AN84" s="155"/>
      <c r="AO84" s="155"/>
      <c r="AP84" s="1114"/>
      <c r="AQ84" s="155"/>
      <c r="AR84" s="155"/>
      <c r="AS84" s="155"/>
      <c r="AT84" s="155"/>
      <c r="AU84" s="1114"/>
      <c r="AV84" s="155"/>
      <c r="AW84" s="155"/>
      <c r="AX84" s="155"/>
      <c r="AY84" s="155"/>
      <c r="AZ84" s="1114"/>
      <c r="BA84" s="155"/>
      <c r="BB84" s="155"/>
      <c r="BC84" s="155"/>
      <c r="BD84" s="155"/>
      <c r="BE84" s="1114"/>
      <c r="BF84" s="155"/>
      <c r="BG84" s="155"/>
      <c r="BH84" s="790"/>
      <c r="BI84" s="155"/>
      <c r="BJ84" s="1114"/>
      <c r="BK84" s="155"/>
      <c r="BL84" s="155"/>
      <c r="BM84" s="155"/>
      <c r="BN84" s="155"/>
      <c r="BO84" s="1114"/>
      <c r="BP84" s="1114"/>
      <c r="BQ84" s="1114"/>
      <c r="BR84" s="1114"/>
      <c r="BS84" s="155"/>
    </row>
    <row r="85" spans="1:71" ht="15">
      <c r="A85" s="415" t="s">
        <v>666</v>
      </c>
      <c r="B85" s="144"/>
      <c r="C85" s="144"/>
      <c r="D85" s="144"/>
      <c r="E85" s="144"/>
      <c r="F85" s="144"/>
      <c r="G85" s="144"/>
      <c r="H85" s="144"/>
      <c r="I85" s="144"/>
      <c r="J85" s="144"/>
      <c r="K85" s="144"/>
      <c r="L85" s="144"/>
      <c r="M85" s="144"/>
      <c r="N85" s="144"/>
      <c r="O85" s="144"/>
      <c r="P85" s="144"/>
      <c r="Q85" s="144"/>
      <c r="R85" s="144"/>
      <c r="S85" s="144"/>
      <c r="T85" s="144"/>
      <c r="U85" s="144"/>
      <c r="V85" s="144"/>
      <c r="W85" s="144"/>
      <c r="X85" s="144"/>
      <c r="Y85" s="144"/>
      <c r="Z85" s="144"/>
      <c r="AA85" s="144"/>
      <c r="AB85" s="144"/>
      <c r="AC85" s="144"/>
      <c r="AD85" s="144"/>
      <c r="AE85" s="144"/>
      <c r="AF85" s="144"/>
      <c r="AG85" s="144"/>
      <c r="AH85" s="144"/>
      <c r="AI85" s="144"/>
      <c r="AJ85" s="144"/>
      <c r="AK85" s="144"/>
      <c r="AL85" s="144"/>
      <c r="AM85" s="144"/>
      <c r="AN85" s="144"/>
      <c r="AO85" s="144"/>
      <c r="AP85" s="144"/>
      <c r="AQ85" s="144"/>
      <c r="AR85" s="144"/>
      <c r="AS85" s="144"/>
      <c r="AT85" s="144"/>
      <c r="AU85" s="144"/>
      <c r="AV85" s="144"/>
      <c r="AW85" s="144"/>
      <c r="AX85" s="144"/>
      <c r="AY85" s="144"/>
      <c r="AZ85" s="144"/>
      <c r="BA85" s="144"/>
      <c r="BB85" s="144"/>
      <c r="BC85" s="144"/>
      <c r="BD85" s="144"/>
      <c r="BE85" s="144"/>
      <c r="BF85" s="144"/>
      <c r="BG85" s="144"/>
      <c r="BH85" s="144"/>
      <c r="BI85" s="144"/>
      <c r="BJ85" s="144"/>
      <c r="BK85" s="144"/>
      <c r="BL85" s="144"/>
      <c r="BM85" s="144"/>
      <c r="BN85" s="144"/>
      <c r="BO85" s="144"/>
      <c r="BP85" s="144"/>
      <c r="BQ85" s="144"/>
      <c r="BR85" s="144"/>
      <c r="BS85" s="155"/>
    </row>
    <row r="86" spans="1:71" ht="15" collapsed="1">
      <c r="A86" s="149"/>
      <c r="B86" s="155"/>
      <c r="C86" s="155"/>
      <c r="D86" s="155"/>
      <c r="E86" s="155"/>
      <c r="F86" s="155"/>
      <c r="G86" s="155"/>
      <c r="H86" s="155"/>
      <c r="I86" s="155"/>
      <c r="J86" s="155"/>
      <c r="K86" s="155"/>
      <c r="L86" s="155"/>
      <c r="M86" s="155"/>
      <c r="N86" s="155"/>
      <c r="O86" s="155"/>
      <c r="P86" s="155"/>
      <c r="Q86" s="155"/>
      <c r="R86" s="155"/>
      <c r="S86" s="155"/>
      <c r="T86" s="155"/>
      <c r="U86" s="155"/>
      <c r="V86" s="155"/>
      <c r="W86" s="155"/>
      <c r="X86" s="155"/>
      <c r="Y86" s="155"/>
      <c r="Z86" s="155"/>
      <c r="AA86" s="155"/>
      <c r="AB86" s="155"/>
      <c r="AC86" s="155"/>
      <c r="AD86" s="155"/>
      <c r="AE86" s="155"/>
      <c r="AF86" s="155"/>
      <c r="AG86" s="155"/>
      <c r="AH86" s="155"/>
      <c r="AI86" s="155"/>
      <c r="AJ86" s="155"/>
      <c r="AK86" s="155"/>
      <c r="AL86" s="155"/>
      <c r="AM86" s="155"/>
      <c r="AN86" s="155"/>
      <c r="AO86" s="155"/>
      <c r="AP86" s="155"/>
      <c r="AQ86" s="155"/>
      <c r="AR86" s="155"/>
      <c r="AS86" s="155"/>
      <c r="AT86" s="155"/>
      <c r="AU86" s="155"/>
      <c r="AV86" s="155"/>
      <c r="AW86" s="155"/>
      <c r="AX86" s="155"/>
      <c r="AY86" s="155"/>
      <c r="AZ86" s="155"/>
      <c r="BA86" s="155"/>
      <c r="BB86" s="155"/>
      <c r="BC86" s="155"/>
      <c r="BD86" s="155"/>
      <c r="BE86" s="155"/>
      <c r="BF86" s="155"/>
      <c r="BG86" s="155"/>
      <c r="BH86" s="155"/>
      <c r="BI86" s="155"/>
      <c r="BJ86" s="155"/>
      <c r="BK86" s="155"/>
      <c r="BL86" s="155"/>
      <c r="BM86" s="155"/>
      <c r="BN86" s="155"/>
      <c r="BO86" s="155"/>
      <c r="BP86" s="155"/>
      <c r="BQ86" s="155"/>
      <c r="BR86" s="155"/>
      <c r="BS86" s="155"/>
    </row>
  </sheetData>
  <conditionalFormatting sqref="C82:BR83">
    <cfRule type="cellIs" priority="143" dxfId="9" operator="equal">
      <formula>0</formula>
    </cfRule>
  </conditionalFormatting>
  <conditionalFormatting sqref="C82:BR83">
    <cfRule type="cellIs" priority="142" dxfId="8" operator="notEqual">
      <formula>0</formula>
    </cfRule>
  </conditionalFormatting>
  <dataValidations count="1">
    <dataValidation type="list" allowBlank="1" showInputMessage="1" showErrorMessage="1" sqref="B4">
      <formula1>OFFSET(tb_ValuationToggle,1,0,4,1)</formula1>
    </dataValidation>
  </dataValidations>
  <pageMargins left="0.7" right="0.7" top="0.75" bottom="0.75" header="0.3" footer="0.3"/>
  <pageSetup orientation="portrait" paperSize="1" scale="3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B7BC5DCE-0AFB-4796-BA5F-83D2AD5588AD}">
  <sheetPr codeName="Sheet41"/>
  <dimension ref="A1:J65"/>
  <sheetViews>
    <sheetView showGridLines="0" workbookViewId="0" topLeftCell="A1"/>
  </sheetViews>
  <sheetFormatPr defaultColWidth="8.854285714285714" defaultRowHeight="15"/>
  <cols>
    <col min="1" max="1" width="4.428571428571429" style="15" customWidth="1"/>
    <col min="2" max="2" width="9.857142857142858" style="15" customWidth="1"/>
    <col min="3" max="3" width="15.714285714285714" style="15" customWidth="1"/>
    <col min="4" max="4" width="20.714285714285715" style="15" customWidth="1"/>
    <col min="5" max="5" width="30.714285714285715" style="15" customWidth="1"/>
    <col min="6" max="6" width="20.714285714285715" style="15"/>
    <col min="7" max="7" width="23.714285714285715" style="15" customWidth="1"/>
    <col min="8" max="8" width="45.714285714285715" style="15" customWidth="1"/>
    <col min="9" max="9" width="7.857142857142857" style="15" customWidth="1"/>
    <col min="10" max="14" width="8.857142857142858" style="15" customWidth="1"/>
    <col min="15" max="16384" width="8.857142857142858" style="15"/>
  </cols>
  <sheetData>
    <row r="1" spans="1:10" ht="15">
      <c r="A1" s="696"/>
      <c r="B1" s="696"/>
      <c r="C1" s="696"/>
      <c r="D1" s="696"/>
      <c r="E1" s="696"/>
      <c r="F1" s="696"/>
      <c r="G1" s="696"/>
      <c r="H1" s="696"/>
      <c r="I1" s="696"/>
      <c r="J1" s="696"/>
    </row>
    <row r="2" spans="1:10" ht="15">
      <c r="A2" s="696"/>
      <c r="B2" s="696"/>
      <c r="C2" s="696"/>
      <c r="D2" s="696"/>
      <c r="E2" s="696"/>
      <c r="F2" s="696"/>
      <c r="G2" s="696"/>
      <c r="H2" s="696"/>
      <c r="I2" s="696"/>
      <c r="J2" s="696"/>
    </row>
    <row r="3" spans="1:10" ht="15">
      <c r="A3" s="696"/>
      <c r="B3" s="696"/>
      <c r="C3" s="696"/>
      <c r="D3" s="696"/>
      <c r="E3" s="696"/>
      <c r="F3" s="696"/>
      <c r="G3" s="696"/>
      <c r="H3" s="696"/>
      <c r="I3" s="696"/>
      <c r="J3" s="696"/>
    </row>
    <row r="4" spans="1:10" ht="15">
      <c r="A4" s="696"/>
      <c r="B4" s="696"/>
      <c r="C4" s="696"/>
      <c r="D4" s="696"/>
      <c r="E4" s="696"/>
      <c r="F4" s="696"/>
      <c r="G4" s="696"/>
      <c r="H4" s="696"/>
      <c r="I4" s="696"/>
      <c r="J4" s="696"/>
    </row>
    <row r="5" spans="1:10" ht="15">
      <c r="A5" s="696"/>
      <c r="B5" s="696"/>
      <c r="C5" s="696"/>
      <c r="D5" s="696"/>
      <c r="E5" s="696"/>
      <c r="F5" s="696"/>
      <c r="G5" s="696"/>
      <c r="H5" s="696"/>
      <c r="I5" s="696"/>
      <c r="J5" s="696"/>
    </row>
    <row r="6" spans="1:10" ht="15">
      <c r="A6" s="696"/>
      <c r="B6" s="696"/>
      <c r="C6" s="696"/>
      <c r="D6" s="696"/>
      <c r="E6" s="696"/>
      <c r="F6" s="696"/>
      <c r="G6" s="696"/>
      <c r="H6" s="696"/>
      <c r="I6" s="696"/>
      <c r="J6" s="696"/>
    </row>
    <row r="7" spans="1:10" ht="18.75">
      <c r="A7" s="696"/>
      <c r="B7" s="696"/>
      <c r="C7" s="696"/>
      <c r="D7" s="696"/>
      <c r="E7" s="711">
        <f>MO.MRFPColumnNumber</f>
        <v>60</v>
      </c>
      <c r="F7" s="702" t="str">
        <f>MO.MRFP</f>
        <v>Q3-2024</v>
      </c>
      <c r="G7" s="702"/>
      <c r="H7" s="712" t="str">
        <f>AA.CSIN</f>
        <v>86R6WP0138</v>
      </c>
      <c r="I7" s="698"/>
      <c r="J7" s="697"/>
    </row>
    <row r="8" spans="1:10" ht="15">
      <c r="A8" s="696"/>
      <c r="B8" s="696"/>
      <c r="C8" s="696"/>
      <c r="D8" s="696"/>
      <c r="E8" s="696"/>
      <c r="F8" s="696"/>
      <c r="G8" s="696"/>
      <c r="H8" s="713" t="str">
        <f>+AA.ModelVersion</f>
        <v>Q3-2024.21</v>
      </c>
      <c r="I8" s="696"/>
      <c r="J8" s="696"/>
    </row>
    <row r="9" spans="1:10" ht="15">
      <c r="A9" s="696"/>
      <c r="B9" s="696"/>
      <c r="C9" s="696"/>
      <c r="D9" s="696"/>
      <c r="E9" s="696"/>
      <c r="F9" s="696"/>
      <c r="G9" s="696"/>
      <c r="H9" s="696"/>
      <c r="I9" s="696"/>
      <c r="J9" s="696"/>
    </row>
    <row r="10" spans="1:10" ht="15">
      <c r="A10" s="696"/>
      <c r="B10" s="696"/>
      <c r="C10" s="737" t="s">
        <v>333</v>
      </c>
      <c r="D10" s="737" t="s">
        <v>334</v>
      </c>
      <c r="E10" s="737" t="s">
        <v>335</v>
      </c>
      <c r="F10" s="737" t="s">
        <v>364</v>
      </c>
      <c r="G10" s="737" t="s">
        <v>336</v>
      </c>
      <c r="H10" s="738" t="s">
        <v>337</v>
      </c>
      <c r="I10" s="696"/>
      <c r="J10" s="696"/>
    </row>
    <row r="11" spans="1:10" s="20" customFormat="1" ht="15">
      <c r="A11" s="696"/>
      <c r="B11" s="696"/>
      <c r="C11" s="714">
        <v>45582</v>
      </c>
      <c r="D11" s="715" t="s">
        <v>661</v>
      </c>
      <c r="E11" s="716" t="s">
        <v>365</v>
      </c>
      <c r="F11" s="716" t="s">
        <v>669</v>
      </c>
      <c r="G11" s="717"/>
      <c r="H11" s="396" t="s">
        <v>340</v>
      </c>
      <c r="I11" s="696"/>
      <c r="J11" s="696"/>
    </row>
    <row r="12" spans="1:10" s="20" customFormat="1" ht="15">
      <c r="A12" s="696"/>
      <c r="B12" s="696"/>
      <c r="C12" s="714">
        <v>45492</v>
      </c>
      <c r="D12" s="715" t="s">
        <v>668</v>
      </c>
      <c r="E12" s="716" t="s">
        <v>365</v>
      </c>
      <c r="F12" s="716" t="s">
        <v>667</v>
      </c>
      <c r="G12" s="717"/>
      <c r="H12" s="410" t="s">
        <v>340</v>
      </c>
      <c r="I12" s="696"/>
      <c r="J12" s="696"/>
    </row>
    <row r="13" spans="1:10" s="20" customFormat="1" ht="15">
      <c r="A13" s="696"/>
      <c r="B13" s="696"/>
      <c r="C13" s="714">
        <v>45399</v>
      </c>
      <c r="D13" s="715" t="s">
        <v>661</v>
      </c>
      <c r="E13" s="716" t="s">
        <v>365</v>
      </c>
      <c r="F13" s="716" t="s">
        <v>663</v>
      </c>
      <c r="G13" s="717"/>
      <c r="H13" s="410" t="s">
        <v>340</v>
      </c>
      <c r="I13" s="696"/>
      <c r="J13" s="696"/>
    </row>
    <row r="14" spans="1:10" s="20" customFormat="1" ht="15">
      <c r="A14" s="696"/>
      <c r="B14" s="696"/>
      <c r="C14" s="714">
        <v>45337</v>
      </c>
      <c r="D14" s="715" t="s">
        <v>662</v>
      </c>
      <c r="E14" s="716" t="s">
        <v>342</v>
      </c>
      <c r="F14" s="716" t="s">
        <v>660</v>
      </c>
      <c r="G14" s="717"/>
      <c r="H14" s="410" t="s">
        <v>340</v>
      </c>
      <c r="I14" s="696"/>
      <c r="J14" s="696"/>
    </row>
    <row r="15" spans="1:10" s="20" customFormat="1" ht="15">
      <c r="A15" s="696"/>
      <c r="B15" s="696"/>
      <c r="C15" s="714">
        <v>45310</v>
      </c>
      <c r="D15" s="715" t="s">
        <v>661</v>
      </c>
      <c r="E15" s="716" t="s">
        <v>542</v>
      </c>
      <c r="F15" s="716" t="s">
        <v>660</v>
      </c>
      <c r="G15" s="717"/>
      <c r="H15" s="410" t="s">
        <v>340</v>
      </c>
      <c r="I15" s="696"/>
      <c r="J15" s="696"/>
    </row>
    <row r="16" spans="1:10" s="20" customFormat="1" ht="15">
      <c r="A16" s="696"/>
      <c r="B16" s="696"/>
      <c r="C16" s="714">
        <v>45217</v>
      </c>
      <c r="D16" s="715" t="s">
        <v>596</v>
      </c>
      <c r="E16" s="716" t="s">
        <v>365</v>
      </c>
      <c r="F16" s="716" t="s">
        <v>599</v>
      </c>
      <c r="G16" s="717"/>
      <c r="H16" s="410" t="s">
        <v>340</v>
      </c>
      <c r="I16" s="696"/>
      <c r="J16" s="696"/>
    </row>
    <row r="17" spans="1:10" s="20" customFormat="1" ht="15">
      <c r="A17" s="696"/>
      <c r="B17" s="696"/>
      <c r="C17" s="714">
        <v>45127</v>
      </c>
      <c r="D17" s="715" t="s">
        <v>598</v>
      </c>
      <c r="E17" s="716" t="s">
        <v>365</v>
      </c>
      <c r="F17" s="716" t="s">
        <v>597</v>
      </c>
      <c r="G17" s="717"/>
      <c r="H17" s="410" t="s">
        <v>340</v>
      </c>
      <c r="I17" s="696"/>
      <c r="J17" s="696"/>
    </row>
    <row r="18" spans="1:10" s="20" customFormat="1" ht="15">
      <c r="A18" s="696"/>
      <c r="B18" s="696"/>
      <c r="C18" s="714">
        <v>45035</v>
      </c>
      <c r="D18" s="715" t="s">
        <v>596</v>
      </c>
      <c r="E18" s="716" t="s">
        <v>365</v>
      </c>
      <c r="F18" s="716" t="s">
        <v>595</v>
      </c>
      <c r="G18" s="717"/>
      <c r="H18" s="410" t="s">
        <v>340</v>
      </c>
      <c r="I18" s="696"/>
      <c r="J18" s="696"/>
    </row>
    <row r="19" spans="1:10" s="20" customFormat="1" ht="15">
      <c r="A19" s="696"/>
      <c r="B19" s="696"/>
      <c r="C19" s="714">
        <v>44973</v>
      </c>
      <c r="D19" s="715" t="s">
        <v>584</v>
      </c>
      <c r="E19" s="716" t="s">
        <v>342</v>
      </c>
      <c r="F19" s="716" t="s">
        <v>583</v>
      </c>
      <c r="G19" s="717"/>
      <c r="H19" s="410" t="s">
        <v>340</v>
      </c>
      <c r="I19" s="696"/>
      <c r="J19" s="696"/>
    </row>
    <row r="20" spans="1:10" s="20" customFormat="1" ht="15">
      <c r="A20" s="696"/>
      <c r="B20" s="696"/>
      <c r="C20" s="714">
        <v>44950</v>
      </c>
      <c r="D20" s="715" t="s">
        <v>584</v>
      </c>
      <c r="E20" s="716" t="s">
        <v>542</v>
      </c>
      <c r="F20" s="716" t="s">
        <v>583</v>
      </c>
      <c r="G20" s="717"/>
      <c r="H20" s="410" t="s">
        <v>340</v>
      </c>
      <c r="I20" s="696"/>
      <c r="J20" s="696"/>
    </row>
    <row r="21" spans="1:10" s="20" customFormat="1" ht="15">
      <c r="A21" s="696"/>
      <c r="B21" s="696"/>
      <c r="C21" s="714">
        <v>44853</v>
      </c>
      <c r="D21" s="715" t="s">
        <v>572</v>
      </c>
      <c r="E21" s="716" t="s">
        <v>365</v>
      </c>
      <c r="F21" s="716" t="s">
        <v>582</v>
      </c>
      <c r="G21" s="717"/>
      <c r="H21" s="410" t="s">
        <v>340</v>
      </c>
      <c r="I21" s="696"/>
      <c r="J21" s="696"/>
    </row>
    <row r="22" spans="1:10" s="20" customFormat="1" ht="15">
      <c r="A22" s="696"/>
      <c r="B22" s="696"/>
      <c r="C22" s="714">
        <v>44763</v>
      </c>
      <c r="D22" s="715" t="s">
        <v>572</v>
      </c>
      <c r="E22" s="716" t="s">
        <v>365</v>
      </c>
      <c r="F22" s="716" t="s">
        <v>580</v>
      </c>
      <c r="G22" s="717"/>
      <c r="H22" s="410" t="s">
        <v>340</v>
      </c>
      <c r="I22" s="696"/>
      <c r="J22" s="696"/>
    </row>
    <row r="23" spans="1:10" s="20" customFormat="1" ht="15">
      <c r="A23" s="696"/>
      <c r="B23" s="696"/>
      <c r="C23" s="714">
        <v>44670</v>
      </c>
      <c r="D23" s="715" t="s">
        <v>572</v>
      </c>
      <c r="E23" s="716" t="s">
        <v>365</v>
      </c>
      <c r="F23" s="716" t="s">
        <v>575</v>
      </c>
      <c r="G23" s="717"/>
      <c r="H23" s="410" t="s">
        <v>340</v>
      </c>
      <c r="I23" s="696"/>
      <c r="J23" s="696"/>
    </row>
    <row r="24" spans="1:10" s="20" customFormat="1" ht="15">
      <c r="A24" s="696"/>
      <c r="B24" s="696"/>
      <c r="C24" s="714">
        <v>44609</v>
      </c>
      <c r="D24" s="715" t="s">
        <v>515</v>
      </c>
      <c r="E24" s="716" t="s">
        <v>342</v>
      </c>
      <c r="F24" s="716" t="s">
        <v>573</v>
      </c>
      <c r="G24" s="717"/>
      <c r="H24" s="410" t="s">
        <v>340</v>
      </c>
      <c r="I24" s="696"/>
      <c r="J24" s="696"/>
    </row>
    <row r="25" spans="1:10" s="20" customFormat="1" ht="15">
      <c r="A25" s="696"/>
      <c r="B25" s="696"/>
      <c r="C25" s="714">
        <v>44581</v>
      </c>
      <c r="D25" s="715" t="s">
        <v>574</v>
      </c>
      <c r="E25" s="716" t="s">
        <v>542</v>
      </c>
      <c r="F25" s="716" t="s">
        <v>573</v>
      </c>
      <c r="G25" s="717"/>
      <c r="H25" s="410" t="s">
        <v>340</v>
      </c>
      <c r="I25" s="696"/>
      <c r="J25" s="696"/>
    </row>
    <row r="26" spans="1:10" s="20" customFormat="1" ht="15">
      <c r="A26" s="696"/>
      <c r="B26" s="696"/>
      <c r="C26" s="714">
        <v>44488</v>
      </c>
      <c r="D26" s="715" t="s">
        <v>572</v>
      </c>
      <c r="E26" s="716" t="s">
        <v>365</v>
      </c>
      <c r="F26" s="716" t="s">
        <v>571</v>
      </c>
      <c r="G26" s="717"/>
      <c r="H26" s="410" t="s">
        <v>340</v>
      </c>
      <c r="I26" s="696"/>
      <c r="J26" s="696"/>
    </row>
    <row r="27" spans="1:10" s="20" customFormat="1" ht="15">
      <c r="A27" s="696"/>
      <c r="B27" s="696"/>
      <c r="C27" s="714">
        <v>44397</v>
      </c>
      <c r="D27" s="715" t="s">
        <v>515</v>
      </c>
      <c r="E27" s="716" t="s">
        <v>365</v>
      </c>
      <c r="F27" s="716" t="s">
        <v>545</v>
      </c>
      <c r="G27" s="717"/>
      <c r="H27" s="410" t="s">
        <v>340</v>
      </c>
      <c r="I27" s="696"/>
      <c r="J27" s="696"/>
    </row>
    <row r="28" spans="1:10" s="20" customFormat="1" ht="15">
      <c r="A28" s="696"/>
      <c r="B28" s="696"/>
      <c r="C28" s="714">
        <v>44306</v>
      </c>
      <c r="D28" s="715" t="s">
        <v>515</v>
      </c>
      <c r="E28" s="716" t="s">
        <v>365</v>
      </c>
      <c r="F28" s="716" t="s">
        <v>543</v>
      </c>
      <c r="G28" s="717"/>
      <c r="H28" s="410" t="s">
        <v>340</v>
      </c>
      <c r="I28" s="696"/>
      <c r="J28" s="696"/>
    </row>
    <row r="29" spans="1:10" s="20" customFormat="1" ht="15">
      <c r="A29" s="696"/>
      <c r="B29" s="696"/>
      <c r="C29" s="714">
        <v>44238</v>
      </c>
      <c r="D29" s="715" t="s">
        <v>515</v>
      </c>
      <c r="E29" s="716" t="s">
        <v>342</v>
      </c>
      <c r="F29" s="716" t="s">
        <v>541</v>
      </c>
      <c r="G29" s="717"/>
      <c r="H29" s="410" t="s">
        <v>340</v>
      </c>
      <c r="I29" s="696"/>
      <c r="J29" s="696"/>
    </row>
    <row r="30" spans="1:10" s="20" customFormat="1" ht="15">
      <c r="A30" s="696"/>
      <c r="B30" s="696"/>
      <c r="C30" s="714">
        <v>44217</v>
      </c>
      <c r="D30" s="715" t="s">
        <v>515</v>
      </c>
      <c r="E30" s="716" t="s">
        <v>542</v>
      </c>
      <c r="F30" s="716" t="s">
        <v>541</v>
      </c>
      <c r="G30" s="717"/>
      <c r="H30" s="410" t="s">
        <v>340</v>
      </c>
      <c r="I30" s="696"/>
      <c r="J30" s="696"/>
    </row>
    <row r="31" spans="1:10" s="20" customFormat="1" ht="15">
      <c r="A31" s="696"/>
      <c r="B31" s="696"/>
      <c r="C31" s="714">
        <v>44124</v>
      </c>
      <c r="D31" s="715" t="s">
        <v>515</v>
      </c>
      <c r="E31" s="716" t="s">
        <v>365</v>
      </c>
      <c r="F31" s="716" t="s">
        <v>539</v>
      </c>
      <c r="G31" s="717"/>
      <c r="H31" s="410" t="s">
        <v>340</v>
      </c>
      <c r="I31" s="696"/>
      <c r="J31" s="696"/>
    </row>
    <row r="32" spans="1:10" s="20" customFormat="1" ht="15">
      <c r="A32" s="696"/>
      <c r="B32" s="696"/>
      <c r="C32" s="714">
        <v>44035</v>
      </c>
      <c r="D32" s="715" t="s">
        <v>515</v>
      </c>
      <c r="E32" s="716" t="s">
        <v>365</v>
      </c>
      <c r="F32" s="716" t="s">
        <v>531</v>
      </c>
      <c r="G32" s="717"/>
      <c r="H32" s="410" t="s">
        <v>340</v>
      </c>
      <c r="I32" s="696"/>
      <c r="J32" s="696"/>
    </row>
    <row r="33" spans="1:10" s="20" customFormat="1" ht="15">
      <c r="A33" s="696"/>
      <c r="B33" s="696"/>
      <c r="C33" s="714">
        <v>43942</v>
      </c>
      <c r="D33" s="715" t="s">
        <v>515</v>
      </c>
      <c r="E33" s="716" t="s">
        <v>365</v>
      </c>
      <c r="F33" s="716" t="s">
        <v>514</v>
      </c>
      <c r="G33" s="717"/>
      <c r="H33" s="410" t="s">
        <v>340</v>
      </c>
      <c r="I33" s="696"/>
      <c r="J33" s="696"/>
    </row>
    <row r="34" spans="1:10" s="20" customFormat="1" ht="15">
      <c r="A34" s="696"/>
      <c r="B34" s="696"/>
      <c r="C34" s="714">
        <v>43874</v>
      </c>
      <c r="D34" s="715" t="s">
        <v>368</v>
      </c>
      <c r="E34" s="716" t="s">
        <v>342</v>
      </c>
      <c r="F34" s="716" t="s">
        <v>367</v>
      </c>
      <c r="G34" s="717"/>
      <c r="H34" s="718" t="s">
        <v>340</v>
      </c>
      <c r="I34" s="696"/>
      <c r="J34" s="696"/>
    </row>
    <row r="35" spans="1:10" s="20" customFormat="1" ht="15">
      <c r="A35" s="696"/>
      <c r="B35" s="696"/>
      <c r="C35" s="714">
        <v>43760</v>
      </c>
      <c r="D35" s="715" t="s">
        <v>362</v>
      </c>
      <c r="E35" s="716" t="s">
        <v>365</v>
      </c>
      <c r="F35" s="716" t="s">
        <v>355</v>
      </c>
      <c r="G35" s="717"/>
      <c r="H35" s="719" t="s">
        <v>340</v>
      </c>
      <c r="I35" s="696"/>
      <c r="J35" s="696"/>
    </row>
    <row r="36" spans="1:10" s="20" customFormat="1" ht="15">
      <c r="A36" s="696"/>
      <c r="B36" s="696"/>
      <c r="C36" s="720">
        <v>43671</v>
      </c>
      <c r="D36" s="721" t="s">
        <v>352</v>
      </c>
      <c r="E36" s="722" t="s">
        <v>365</v>
      </c>
      <c r="F36" s="722" t="s">
        <v>353</v>
      </c>
      <c r="G36" s="723"/>
      <c r="H36" s="724" t="s">
        <v>340</v>
      </c>
      <c r="I36" s="696"/>
      <c r="J36" s="696"/>
    </row>
    <row r="37" spans="1:10" s="20" customFormat="1" ht="15">
      <c r="A37" s="696"/>
      <c r="B37" s="696"/>
      <c r="C37" s="720">
        <v>43577</v>
      </c>
      <c r="D37" s="721" t="s">
        <v>338</v>
      </c>
      <c r="E37" s="722" t="s">
        <v>365</v>
      </c>
      <c r="F37" s="722" t="s">
        <v>339</v>
      </c>
      <c r="G37" s="723"/>
      <c r="H37" s="725" t="s">
        <v>340</v>
      </c>
      <c r="I37" s="696"/>
      <c r="J37" s="696"/>
    </row>
    <row r="38" spans="1:10" s="20" customFormat="1" ht="15">
      <c r="A38" s="696"/>
      <c r="B38" s="696"/>
      <c r="C38" s="720">
        <v>43510</v>
      </c>
      <c r="D38" s="721" t="s">
        <v>341</v>
      </c>
      <c r="E38" s="722" t="s">
        <v>342</v>
      </c>
      <c r="F38" s="722" t="s">
        <v>366</v>
      </c>
      <c r="G38" s="723"/>
      <c r="H38" s="725" t="s">
        <v>340</v>
      </c>
      <c r="I38" s="696"/>
      <c r="J38" s="696"/>
    </row>
    <row r="39" spans="1:10" ht="15">
      <c r="A39" s="696"/>
      <c r="B39" s="696"/>
      <c r="C39" s="720">
        <v>43391</v>
      </c>
      <c r="D39" s="721" t="s">
        <v>343</v>
      </c>
      <c r="E39" s="722" t="s">
        <v>365</v>
      </c>
      <c r="F39" s="722" t="s">
        <v>344</v>
      </c>
      <c r="G39" s="723"/>
      <c r="H39" s="726" t="s">
        <v>340</v>
      </c>
      <c r="I39" s="696"/>
      <c r="J39" s="696"/>
    </row>
    <row r="40" spans="1:10" ht="15">
      <c r="A40" s="696"/>
      <c r="B40" s="696"/>
      <c r="C40" s="720">
        <v>43300</v>
      </c>
      <c r="D40" s="721" t="s">
        <v>345</v>
      </c>
      <c r="E40" s="722" t="s">
        <v>365</v>
      </c>
      <c r="F40" s="722" t="s">
        <v>346</v>
      </c>
      <c r="G40" s="723"/>
      <c r="H40" s="726" t="s">
        <v>340</v>
      </c>
      <c r="I40" s="696"/>
      <c r="J40" s="696"/>
    </row>
    <row r="41" spans="1:10" ht="15">
      <c r="A41" s="696"/>
      <c r="B41" s="696"/>
      <c r="C41" s="727">
        <v>43214</v>
      </c>
      <c r="D41" s="728" t="s">
        <v>347</v>
      </c>
      <c r="E41" s="729" t="s">
        <v>365</v>
      </c>
      <c r="F41" s="729" t="s">
        <v>348</v>
      </c>
      <c r="G41" s="730"/>
      <c r="H41" s="731" t="s">
        <v>340</v>
      </c>
      <c r="I41" s="696"/>
      <c r="J41" s="696"/>
    </row>
    <row r="42" spans="1:10" ht="15">
      <c r="A42" s="696"/>
      <c r="B42" s="696"/>
      <c r="C42" s="714">
        <v>43193</v>
      </c>
      <c r="D42" s="715" t="s">
        <v>349</v>
      </c>
      <c r="E42" s="716" t="s">
        <v>365</v>
      </c>
      <c r="F42" s="716" t="s">
        <v>350</v>
      </c>
      <c r="G42" s="717"/>
      <c r="H42" s="732" t="s">
        <v>340</v>
      </c>
      <c r="I42" s="696"/>
      <c r="J42" s="696"/>
    </row>
    <row r="43" spans="1:10" ht="15">
      <c r="A43" s="696"/>
      <c r="B43" s="696"/>
      <c r="C43" s="696"/>
      <c r="D43" s="696"/>
      <c r="E43" s="696"/>
      <c r="F43" s="696"/>
      <c r="G43" s="696"/>
      <c r="H43" s="696"/>
      <c r="I43" s="696"/>
      <c r="J43" s="696"/>
    </row>
    <row r="44" spans="1:10" ht="15">
      <c r="A44" s="696"/>
      <c r="B44" s="696"/>
      <c r="C44" s="696"/>
      <c r="D44" s="696"/>
      <c r="E44" s="696"/>
      <c r="F44" s="696"/>
      <c r="G44" s="696"/>
      <c r="H44" s="696"/>
      <c r="I44" s="696"/>
      <c r="J44" s="696"/>
    </row>
    <row r="45" spans="1:10" ht="15">
      <c r="A45" s="696"/>
      <c r="B45" s="696"/>
      <c r="C45" s="696"/>
      <c r="D45" s="696"/>
      <c r="E45" s="696"/>
      <c r="F45" s="696"/>
      <c r="G45" s="696"/>
      <c r="H45" s="696"/>
      <c r="I45" s="696"/>
      <c r="J45" s="696"/>
    </row>
    <row r="46" spans="1:10" ht="15">
      <c r="A46" s="696"/>
      <c r="B46" s="696"/>
      <c r="C46" s="696"/>
      <c r="D46" s="696"/>
      <c r="E46" s="696"/>
      <c r="F46" s="696"/>
      <c r="G46" s="696"/>
      <c r="H46" s="696"/>
      <c r="I46" s="696"/>
      <c r="J46" s="696"/>
    </row>
    <row r="47" spans="1:10" ht="15">
      <c r="A47" s="696"/>
      <c r="B47" s="696"/>
      <c r="C47" s="696"/>
      <c r="D47" s="696"/>
      <c r="E47" s="696"/>
      <c r="F47" s="696"/>
      <c r="G47" s="696"/>
      <c r="H47" s="696"/>
      <c r="I47" s="696"/>
      <c r="J47" s="696"/>
    </row>
    <row r="48" spans="1:10" ht="15">
      <c r="A48" s="696"/>
      <c r="B48" s="696"/>
      <c r="C48" s="696"/>
      <c r="D48" s="696"/>
      <c r="E48" s="696"/>
      <c r="F48" s="696"/>
      <c r="G48" s="696"/>
      <c r="H48" s="696"/>
      <c r="I48" s="696"/>
      <c r="J48" s="696"/>
    </row>
    <row r="49" spans="1:10" ht="15">
      <c r="A49" s="696"/>
      <c r="B49" s="696"/>
      <c r="C49" s="696"/>
      <c r="D49" s="696"/>
      <c r="E49" s="696"/>
      <c r="F49" s="696"/>
      <c r="G49" s="696"/>
      <c r="H49" s="696"/>
      <c r="I49" s="696"/>
      <c r="J49" s="696"/>
    </row>
    <row r="50" spans="1:10" ht="15">
      <c r="A50" s="696"/>
      <c r="B50" s="696"/>
      <c r="C50" s="696"/>
      <c r="D50" s="696"/>
      <c r="E50" s="696"/>
      <c r="F50" s="696"/>
      <c r="G50" s="696"/>
      <c r="H50" s="696"/>
      <c r="I50" s="696"/>
      <c r="J50" s="696"/>
    </row>
    <row r="51" spans="1:10" ht="15">
      <c r="A51" s="696"/>
      <c r="B51" s="696"/>
      <c r="C51" s="696"/>
      <c r="D51" s="696"/>
      <c r="E51" s="696"/>
      <c r="F51" s="696"/>
      <c r="G51" s="696"/>
      <c r="H51" s="696"/>
      <c r="I51" s="696"/>
      <c r="J51" s="696"/>
    </row>
    <row r="52" spans="1:10" ht="15">
      <c r="A52" s="696"/>
      <c r="B52" s="696"/>
      <c r="C52" s="696"/>
      <c r="D52" s="696"/>
      <c r="E52" s="696"/>
      <c r="F52" s="696"/>
      <c r="G52" s="696"/>
      <c r="H52" s="696"/>
      <c r="I52" s="696"/>
      <c r="J52" s="696"/>
    </row>
    <row r="53" spans="1:10" ht="15">
      <c r="A53" s="696"/>
      <c r="B53" s="696"/>
      <c r="C53" s="696"/>
      <c r="D53" s="696"/>
      <c r="E53" s="696"/>
      <c r="F53" s="696"/>
      <c r="G53" s="696"/>
      <c r="H53" s="696"/>
      <c r="I53" s="696"/>
      <c r="J53" s="696"/>
    </row>
    <row r="54" spans="1:10" ht="15">
      <c r="A54" s="696"/>
      <c r="B54" s="696"/>
      <c r="C54" s="696"/>
      <c r="D54" s="696"/>
      <c r="E54" s="696"/>
      <c r="F54" s="696"/>
      <c r="G54" s="696"/>
      <c r="H54" s="696"/>
      <c r="I54" s="696"/>
      <c r="J54" s="696"/>
    </row>
    <row r="55" spans="1:10" ht="15">
      <c r="A55" s="696"/>
      <c r="B55" s="696"/>
      <c r="C55" s="696"/>
      <c r="D55" s="696"/>
      <c r="E55" s="696"/>
      <c r="F55" s="696"/>
      <c r="G55" s="696"/>
      <c r="H55" s="696"/>
      <c r="I55" s="696"/>
      <c r="J55" s="696"/>
    </row>
    <row r="56" spans="1:10" ht="15">
      <c r="A56" s="696"/>
      <c r="B56" s="696"/>
      <c r="C56" s="696"/>
      <c r="D56" s="696"/>
      <c r="E56" s="696"/>
      <c r="F56" s="696"/>
      <c r="G56" s="696"/>
      <c r="H56" s="696"/>
      <c r="I56" s="696"/>
      <c r="J56" s="696"/>
    </row>
    <row r="57" spans="1:10" ht="15">
      <c r="A57" s="696"/>
      <c r="B57" s="696"/>
      <c r="C57" s="696"/>
      <c r="D57" s="696"/>
      <c r="E57" s="696"/>
      <c r="F57" s="696"/>
      <c r="G57" s="696"/>
      <c r="H57" s="696"/>
      <c r="I57" s="696"/>
      <c r="J57" s="696"/>
    </row>
    <row r="58" spans="1:10" ht="15">
      <c r="A58" s="696"/>
      <c r="B58" s="696"/>
      <c r="C58" s="696"/>
      <c r="D58" s="696"/>
      <c r="E58" s="696"/>
      <c r="F58" s="696"/>
      <c r="G58" s="696"/>
      <c r="H58" s="696"/>
      <c r="I58" s="696"/>
      <c r="J58" s="696"/>
    </row>
    <row r="59" spans="1:10" ht="15">
      <c r="A59" s="696"/>
      <c r="B59" s="696"/>
      <c r="C59" s="696"/>
      <c r="D59" s="696"/>
      <c r="E59" s="696"/>
      <c r="F59" s="696"/>
      <c r="G59" s="696"/>
      <c r="H59" s="696"/>
      <c r="I59" s="696"/>
      <c r="J59" s="696"/>
    </row>
    <row r="60" spans="1:10" ht="15">
      <c r="A60" s="696"/>
      <c r="B60" s="696"/>
      <c r="C60" s="696"/>
      <c r="D60" s="696"/>
      <c r="E60" s="696"/>
      <c r="F60" s="696"/>
      <c r="G60" s="696"/>
      <c r="H60" s="696"/>
      <c r="I60" s="696"/>
      <c r="J60" s="696"/>
    </row>
    <row r="61" spans="1:10" ht="15">
      <c r="A61" s="696"/>
      <c r="B61" s="696"/>
      <c r="C61" s="696"/>
      <c r="D61" s="696"/>
      <c r="E61" s="696"/>
      <c r="F61" s="696"/>
      <c r="G61" s="696"/>
      <c r="H61" s="696"/>
      <c r="I61" s="696"/>
      <c r="J61" s="696"/>
    </row>
    <row r="62" spans="1:10" ht="15">
      <c r="A62" s="696"/>
      <c r="B62" s="696"/>
      <c r="C62" s="696"/>
      <c r="D62" s="696"/>
      <c r="E62" s="696"/>
      <c r="F62" s="696"/>
      <c r="G62" s="696"/>
      <c r="H62" s="696"/>
      <c r="I62" s="696"/>
      <c r="J62" s="696"/>
    </row>
    <row r="63" spans="1:10" ht="15">
      <c r="A63" s="696"/>
      <c r="B63" s="696"/>
      <c r="C63" s="696"/>
      <c r="D63" s="696"/>
      <c r="E63" s="696"/>
      <c r="F63" s="696"/>
      <c r="G63" s="696"/>
      <c r="H63" s="696"/>
      <c r="I63" s="696"/>
      <c r="J63" s="696"/>
    </row>
    <row r="64" spans="1:10" ht="15">
      <c r="A64" s="696"/>
      <c r="B64" s="696"/>
      <c r="C64" s="696"/>
      <c r="D64" s="696"/>
      <c r="E64" s="696"/>
      <c r="F64" s="696"/>
      <c r="G64" s="696"/>
      <c r="H64" s="696"/>
      <c r="I64" s="696"/>
      <c r="J64" s="696"/>
    </row>
    <row r="65" spans="1:10" ht="15">
      <c r="A65" s="696"/>
      <c r="B65" s="696"/>
      <c r="C65" s="696"/>
      <c r="D65" s="696"/>
      <c r="E65" s="696"/>
      <c r="F65" s="696"/>
      <c r="G65" s="696"/>
      <c r="H65" s="696"/>
      <c r="I65" s="696"/>
      <c r="J65" s="696"/>
    </row>
  </sheetData>
  <hyperlinks>
    <hyperlink ref="H37" r:id="rId1" tooltip="Website Link" display="Earnings Press Release"/>
    <hyperlink ref="H38" r:id="rId2" tooltip="Website Link" display="Earnings Press Release"/>
    <hyperlink ref="H39" r:id="rId3" tooltip="Website Link" display="Earnings Press Release"/>
    <hyperlink ref="H40" r:id="rId4" tooltip="Website Link" display="Earnings Press Release"/>
    <hyperlink ref="H41" r:id="rId5" tooltip="Website Link" display="Earnings Press Release"/>
    <hyperlink ref="H42" r:id="rId6" display="Earnings Press Release"/>
    <hyperlink ref="H36" r:id="rId7" tooltip="Website Link" display="Earnings Press Release"/>
    <hyperlink ref="H35" r:id="rId8" tooltip="Website Link" display="Earnings Press Release"/>
    <hyperlink ref="H34" r:id="rId9" tooltip="Website Link" display="Earnings Press Release"/>
    <hyperlink ref="H33" r:id="rId10" tooltip="Website Link" display="Earnings Press Release"/>
    <hyperlink ref="H32" r:id="rId11" tooltip="Website Link" display="Earnings Press Release"/>
    <hyperlink ref="H31" r:id="rId12" tooltip="Website Link" display="Earnings Press Release"/>
    <hyperlink ref="H30" r:id="rId13" tooltip="Website Link" display="Earnings Press Release"/>
    <hyperlink ref="H29" r:id="rId14" tooltip="Website Link" display="Earnings Press Release"/>
    <hyperlink ref="H28" r:id="rId15" tooltip="Website Link" display="Earnings Press Release"/>
    <hyperlink ref="H27" r:id="rId16" tooltip="Website Link" display="Earnings Press Release"/>
    <hyperlink ref="H26" r:id="rId17" tooltip="Website Link" display="Earnings Press Release"/>
    <hyperlink ref="H25" r:id="rId18" tooltip="Website Link" display="Earnings Press Release"/>
    <hyperlink ref="H24" r:id="rId19" tooltip="Website Link" display="Earnings Press Release"/>
    <hyperlink ref="H23" r:id="rId20" tooltip="Website Link" display="Earnings Press Release"/>
    <hyperlink ref="H22" r:id="rId21" tooltip="Website Link" display="Earnings Press Release"/>
    <hyperlink ref="H21" r:id="rId22" tooltip="Website Link" display="Earnings Press Release"/>
    <hyperlink ref="H20" r:id="rId23" tooltip="Website Link" display="Earnings Press Release"/>
    <hyperlink ref="H19" r:id="rId24" tooltip="Website Link" display="Earnings Press Release"/>
    <hyperlink ref="H18" r:id="rId25" tooltip="Website Link" display="Earnings Press Release"/>
    <hyperlink ref="H17" r:id="rId26" tooltip="Website Link" display="Earnings Press Release"/>
    <hyperlink ref="H16" r:id="rId27" tooltip="Website Link" display="Earnings Press Release"/>
    <hyperlink ref="H15" r:id="rId28" tooltip="Website Link" display="Earnings Press Release"/>
    <hyperlink ref="H14" r:id="rId29" tooltip="Website Link" display="Earnings Press Release"/>
    <hyperlink ref="H13" r:id="rId30" tooltip="Website Link" display="Earnings Press Release"/>
    <hyperlink ref="H12" r:id="rId31" tooltip="Website Link" display="Earnings Press Release"/>
    <hyperlink ref="H11" r:id="rId32" tooltip="Website Link" display="Earnings Press Release"/>
  </hyperlinks>
  <pageMargins left="0.7" right="0.7" top="0.75" bottom="0.75" header="0.3" footer="0.3"/>
  <pageSetup orientation="portrait" paperSize="1"/>
  <drawing r:id="rId33"/>
</worksheet>
</file>

<file path=customXml/_rels/item1.xml.rels><?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1 6 " ? > < C u s t o m X M L O b j e c t   x m l n s : x s i = " h t t p : / / w w w . w 3 . o r g / 2 0 0 1 / X M L S c h e m a - i n s t a n c e "   x m l n s : x s d = " h t t p : / / w w w . w 3 . o r g / 2 0 0 1 / X M L S c h e m a " >  
     < N a m e > S t a t i c M e t a d a t a < / N a m e >  
     < V a l u e > { " o r i g i n " : " T e g u s " } < / V a l u e >  
 < / C u s t o m X M L O b j e c t > 
</file>

<file path=customXml/itemProps1.xml><?xml version="1.0" encoding="utf-8"?>
<ds:datastoreItem xmlns:ds="http://schemas.openxmlformats.org/officeDocument/2006/customXml" ds:itemID="{CB0FF725-AB53-422E-A633-CCFC42945762}">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HeadingPairs>
    <vt:vector size="2" baseType="variant">
      <vt:variant>
        <vt:lpstr>Worksheets</vt:lpstr>
      </vt:variant>
      <vt:variant>
        <vt:i4>4</vt:i4>
      </vt:variant>
    </vt:vector>
  </HeadingPairs>
  <TitlesOfParts>
    <vt:vector size="4" baseType="lpstr">
      <vt:lpstr>Front Page</vt:lpstr>
      <vt:lpstr>Model</vt:lpstr>
      <vt:lpstr>Summary Page</vt:lpstr>
      <vt:lpstr>Update Log</vt:lpstr>
    </vt:vector>
  </TitlesOfParts>
  <Template/>
  <Manager/>
  <Company/>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Canalyst</dc:creator>
  <cp:keywords/>
  <dc:description/>
  <cp:lastModifiedBy>Tegus (RF)</cp:lastModifiedBy>
  <cp:lastPrinted>2016-04-29T05:43:54Z</cp:lastPrinted>
  <dcterms:created xsi:type="dcterms:W3CDTF">2016-04-22T21:21:10Z</dcterms:created>
  <dcterms:modified xsi:type="dcterms:W3CDTF">2024-10-17T16:03:51Z</dcterms:modified>
  <cp:category/>
</cp:coreProperties>
</file>