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ml.chart+xml" PartName="/xl/charts/chart1.xml"/>
  <Override ContentType="application/vnd.ms-office.chartcolorstyle+xml" PartName="/xl/charts/colors1.xml"/>
  <Override ContentType="application/vnd.ms-office.chartstyle+xml" PartName="/xl/charts/style1.xml"/>
  <Override ContentType="application/vnd.openxmlformats-officedocument.drawing+xml" PartName="/xl/drawings/drawing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19126"/>
  <workbookPr defaultThemeVersion="166925"/>
  <mc:AlternateContent>
    <mc:Choice Requires="x15">
      <x15ac:absPath xmlns:x15ac="http://schemas.microsoft.com/office/spreadsheetml/2010/11/ac" url="C:\Users\mrutzen\Desktop\ENODO EXPORT TEMPLATE\"/>
    </mc:Choice>
  </mc:AlternateContent>
  <xr:revisionPtr documentId="10_ncr:100000_{EACBADF2-6A04-491E-BC6A-FAC30D81CAE3}" revIDLastSave="0" xr10:uidLastSave="{00000000-0000-0000-0000-000000000000}" xr6:coauthVersionLast="31" xr6:coauthVersionMax="34"/>
  <bookViews>
    <workbookView activeTab="7" tabRatio="801" windowHeight="16900" windowWidth="38400" xWindow="0" xr2:uid="{4217298F-260B-4D37-BCA5-FFAE20B20829}" yWindow="0"/>
  </bookViews>
  <sheets>
    <sheet name="Overview" r:id="rId1" sheetId="1"/>
    <sheet name="Unit Mix" r:id="rId2" sheetId="2"/>
    <sheet name="Lease Analysis" r:id="rId3" sheetId="3"/>
    <sheet name="Comps Analysis" r:id="rId4" sheetId="4"/>
    <sheet name="Amenity Analysis" r:id="rId5" sheetId="10"/>
    <sheet name="Similar Properties" r:id="rId6" sheetId="5"/>
    <sheet name="Historical Rent Data" r:id="rId7" sheetId="11"/>
    <sheet name="Market Analysis" r:id="rId8" sheetId="9"/>
    <sheet name="Operating Statement" r:id="rId9" sheetId="6"/>
    <sheet name="T-12 Analysis" r:id="rId10" sheetId="8"/>
    <sheet name="Pro Forma" r:id="rId11" sheetId="7"/>
    <sheet name="PDF Export" r:id="rId12" sheetId="12"/>
  </sheets>
  <externalReferences>
    <externalReference r:id="rId13"/>
    <externalReference r:id="rId14"/>
  </externalReferences>
  <calcPr calcId="179017" iterate="1" iterateDelta="1E-4"/>
  <extLst>
    <ext uri="{140A7094-0E35-4892-8432-C4D2E57EDEB5}">
      <x15:workbookPr chartTrackingRefBase="1"/>
    </ext>
  </extLst>
</workbook>
</file>

<file path=xl/calcChain.xml><?xml version="1.0" encoding="utf-8"?>
<calcChain xmlns="http://schemas.openxmlformats.org/spreadsheetml/2006/main">
  <c i="9" l="1" r="K41"/>
  <c i="9" r="L13"/>
  <c i="9" r="K13"/>
  <c i="9" r="J13"/>
  <c i="9" r="I13"/>
  <c i="9" r="H13"/>
  <c i="9" r="L11"/>
  <c i="9" r="K11"/>
  <c i="9" r="J11"/>
  <c i="9" r="I11"/>
  <c i="9" r="H11"/>
  <c i="9" r="L10"/>
  <c i="9" r="K10"/>
  <c i="9" r="J10"/>
  <c i="9" r="I10"/>
  <c i="9" r="H10"/>
  <c i="9" r="L9"/>
  <c i="9" r="K9"/>
  <c i="9" r="J9"/>
  <c i="9" r="I9"/>
  <c i="9" r="H9"/>
  <c i="12" r="F174"/>
  <c i="12" r="G174" s="1"/>
  <c i="12" r="D174"/>
  <c i="12" r="K174"/>
  <c i="12" r="C174"/>
  <c i="12" r="F173"/>
  <c i="12" r="G173" s="1"/>
  <c i="12" r="D173"/>
  <c i="12" r="E173" s="1"/>
  <c i="12" r="K173"/>
  <c i="12" r="C173"/>
  <c i="12" r="F172"/>
  <c i="12" r="G172" s="1"/>
  <c i="12" r="D172"/>
  <c i="12" r="E172" s="1"/>
  <c i="12" r="K172"/>
  <c i="12" r="C172"/>
  <c i="12" r="F171"/>
  <c i="12" r="G171" s="1"/>
  <c i="12" r="D171"/>
  <c i="12" r="E171" s="1"/>
  <c i="12" r="K171"/>
  <c i="12" r="C171"/>
  <c i="12" r="F170"/>
  <c i="12" r="G170" s="1"/>
  <c i="12" r="D170"/>
  <c i="12" r="E170" s="1"/>
  <c i="12" r="K170"/>
  <c i="12" r="C170"/>
  <c i="12" r="B90"/>
  <c i="12" r="E265"/>
  <c i="12" r="E262"/>
  <c i="12" r="K238"/>
  <c i="12" r="J238"/>
  <c i="12" r="I238"/>
  <c i="12" r="H238"/>
  <c i="12" r="G238"/>
  <c i="12" r="F238"/>
  <c i="12" r="E238"/>
  <c i="12" r="K237"/>
  <c i="12" r="J237"/>
  <c i="12" r="I237"/>
  <c i="12" r="H237"/>
  <c i="12" r="G237"/>
  <c i="12" r="F237"/>
  <c i="12" r="E237"/>
  <c i="12" r="K236"/>
  <c i="12" r="J236"/>
  <c i="12" r="I236"/>
  <c i="12" r="H236"/>
  <c i="12" r="G236"/>
  <c i="12" r="F236"/>
  <c i="12" r="E236"/>
  <c i="12" r="K235"/>
  <c i="12" r="J235"/>
  <c i="12" r="I235"/>
  <c i="12" r="H235"/>
  <c i="12" r="G235"/>
  <c i="12" r="F235"/>
  <c i="12" r="E235"/>
  <c i="12" r="K234"/>
  <c i="12" r="J234"/>
  <c i="12" r="I234"/>
  <c i="12" r="H234"/>
  <c i="12" r="G234"/>
  <c i="12" r="F234"/>
  <c i="12" r="E234"/>
  <c i="12" r="K232"/>
  <c i="12" r="J232"/>
  <c i="12" r="I232"/>
  <c i="12" r="H232"/>
  <c i="12" r="G232"/>
  <c i="12" r="F232"/>
  <c i="12" r="E232"/>
  <c i="12" r="K231"/>
  <c i="12" r="J231"/>
  <c i="12" r="I231"/>
  <c i="12" r="H231"/>
  <c i="12" r="G231"/>
  <c i="12" r="F231"/>
  <c i="12" r="E231"/>
  <c i="12" r="K230"/>
  <c i="12" r="J230"/>
  <c i="12" r="I230"/>
  <c i="12" r="H230"/>
  <c i="12" r="G230"/>
  <c i="12" r="F230"/>
  <c i="12" r="E230"/>
  <c i="12" r="K229"/>
  <c i="12" r="J229"/>
  <c i="12" r="I229"/>
  <c i="12" r="H229"/>
  <c i="12" r="G229"/>
  <c i="12" r="F229"/>
  <c i="12" r="E229"/>
  <c i="12" r="K228"/>
  <c i="12" r="J228"/>
  <c i="12" r="I228"/>
  <c i="12" r="H228"/>
  <c i="12" r="G228"/>
  <c i="12" r="F228"/>
  <c i="12" r="E228"/>
  <c i="12" r="K226"/>
  <c i="12" r="J226"/>
  <c i="12" r="I226"/>
  <c i="12" r="H226"/>
  <c i="12" r="G226"/>
  <c i="12" r="F226"/>
  <c i="12" r="E226"/>
  <c i="12" r="K225"/>
  <c i="12" r="J225"/>
  <c i="12" r="I225"/>
  <c i="12" r="H225"/>
  <c i="12" r="G225"/>
  <c i="12" r="F225"/>
  <c i="12" r="E225"/>
  <c i="12" r="K224"/>
  <c i="12" r="J224"/>
  <c i="12" r="I224"/>
  <c i="12" r="H224"/>
  <c i="12" r="G224"/>
  <c i="12" r="F224"/>
  <c i="12" r="E224"/>
  <c i="12" r="K223"/>
  <c i="12" r="J223"/>
  <c i="12" r="I223"/>
  <c i="12" r="H223"/>
  <c i="12" r="G223"/>
  <c i="12" r="F223"/>
  <c i="12" r="E223"/>
  <c i="12" r="K222"/>
  <c i="12" r="J222"/>
  <c i="12" r="I222"/>
  <c i="12" r="H222"/>
  <c i="12" r="G222"/>
  <c i="12" r="F222"/>
  <c i="12" r="E222"/>
  <c i="12" r="K220"/>
  <c i="12" r="J220"/>
  <c i="12" r="I220"/>
  <c i="12" r="H220"/>
  <c i="12" r="G220"/>
  <c i="12" r="F220"/>
  <c i="12" r="E220"/>
  <c i="12" r="K219"/>
  <c i="12" r="J219"/>
  <c i="12" r="I219"/>
  <c i="12" r="H219"/>
  <c i="12" r="G219"/>
  <c i="12" r="F219"/>
  <c i="12" r="E219"/>
  <c i="12" r="K218"/>
  <c i="12" r="J218"/>
  <c i="12" r="I218"/>
  <c i="12" r="H218"/>
  <c i="12" r="G218"/>
  <c i="12" r="F218"/>
  <c i="12" r="E218"/>
  <c i="12" r="K217"/>
  <c i="12" r="J217"/>
  <c i="12" r="I217"/>
  <c i="12" r="H217"/>
  <c i="12" r="G217"/>
  <c i="12" r="F217"/>
  <c i="12" r="E217"/>
  <c i="12" r="K216"/>
  <c i="12" r="J216"/>
  <c i="12" r="I216"/>
  <c i="12" r="H216"/>
  <c i="12" r="G216"/>
  <c i="12" r="F216"/>
  <c i="12" r="E216"/>
  <c i="12" r="K214"/>
  <c i="12" r="J214"/>
  <c i="12" r="I214"/>
  <c i="12" r="H214"/>
  <c i="12" r="G214"/>
  <c i="12" r="F214"/>
  <c i="12" r="E214"/>
  <c i="12" r="K213"/>
  <c i="12" r="J213"/>
  <c i="12" r="I213"/>
  <c i="12" r="H213"/>
  <c i="12" r="G213"/>
  <c i="12" r="F213"/>
  <c i="12" r="E213"/>
  <c i="12" r="K212"/>
  <c i="12" r="J212"/>
  <c i="12" r="I212"/>
  <c i="12" r="H212"/>
  <c i="12" r="G212"/>
  <c i="12" r="F212"/>
  <c i="12" r="E212"/>
  <c i="12" r="K211"/>
  <c i="12" r="J211"/>
  <c i="12" r="I211"/>
  <c i="12" r="H211"/>
  <c i="12" r="G211"/>
  <c i="12" r="F211"/>
  <c i="12" r="E211"/>
  <c i="12" r="K210"/>
  <c i="12" r="J210"/>
  <c i="12" r="I210"/>
  <c i="12" r="H210"/>
  <c i="12" r="G210"/>
  <c i="12" r="F210"/>
  <c i="12" r="E210"/>
  <c i="12" r="K209"/>
  <c i="12" r="J209"/>
  <c i="12" r="I209"/>
  <c i="12" r="H209"/>
  <c i="12" r="G209"/>
  <c i="12" r="F209"/>
  <c i="12" r="E209"/>
  <c i="12" r="K208"/>
  <c i="12" r="J208"/>
  <c i="12" r="I208"/>
  <c i="12" r="H208"/>
  <c i="12" r="G208"/>
  <c i="12" r="F208"/>
  <c i="12" r="E208"/>
  <c i="12" r="K206"/>
  <c i="12" r="J206"/>
  <c i="12" r="I206"/>
  <c i="12" r="H206"/>
  <c i="12" r="G206"/>
  <c i="12" r="F206"/>
  <c i="12" r="E206"/>
  <c i="12" r="K205"/>
  <c i="12" r="J205"/>
  <c i="12" r="I205"/>
  <c i="12" r="H205"/>
  <c i="12" r="G205"/>
  <c i="12" r="F205"/>
  <c i="12" r="E205"/>
  <c i="12" r="K204"/>
  <c i="12" r="J204"/>
  <c i="12" r="I204"/>
  <c i="12" r="H204"/>
  <c i="12" r="G204"/>
  <c i="12" r="F204"/>
  <c i="12" r="E204"/>
  <c i="12" r="K203"/>
  <c i="12" r="J203"/>
  <c i="12" r="I203"/>
  <c i="12" r="H203"/>
  <c i="12" r="G203"/>
  <c i="12" r="F203"/>
  <c i="12" r="E203"/>
  <c i="12" r="K202"/>
  <c i="12" r="J202"/>
  <c i="12" r="I202"/>
  <c i="12" r="H202"/>
  <c i="12" r="G202"/>
  <c i="12" r="F202"/>
  <c i="12" r="E202"/>
  <c i="12" r="K201"/>
  <c i="12" r="J201"/>
  <c i="12" r="I201"/>
  <c i="12" r="H201"/>
  <c i="12" r="G201"/>
  <c i="12" r="F201"/>
  <c i="12" r="E201"/>
  <c i="12" r="K200"/>
  <c i="12" r="J200"/>
  <c i="12" r="I200"/>
  <c i="12" r="H200"/>
  <c i="12" r="G200"/>
  <c i="12" r="F200"/>
  <c i="12" r="E200"/>
  <c i="12" r="K199"/>
  <c i="12" r="J199"/>
  <c i="12" r="I199"/>
  <c i="12" r="H199"/>
  <c i="12" r="G199"/>
  <c i="12" r="F199"/>
  <c i="12" r="E199"/>
  <c i="12" r="A102"/>
  <c i="12" r="A99"/>
  <c i="12" r="A96"/>
  <c i="12" r="A93"/>
  <c i="12" r="A90"/>
  <c i="12" r="B26"/>
  <c i="12" l="1" r="D175"/>
  <c i="12" r="E174"/>
  <c i="12" r="F175"/>
  <c i="12" r="C175"/>
  <c i="12" r="J176" s="1"/>
  <c i="12" r="K176" s="1"/>
  <c i="12" r="J175"/>
  <c i="12" r="K175" s="1"/>
  <c i="12" r="B93"/>
  <c i="12" l="1" r="F176"/>
  <c i="12" r="G176" s="1"/>
  <c i="12" r="C176"/>
  <c i="12" r="D176"/>
  <c i="12" r="E176" s="1"/>
  <c i="12" r="G175"/>
  <c i="12" r="E175"/>
  <c i="2" l="1" r="O16"/>
  <c i="2" r="O8"/>
  <c i="2" r="N17"/>
  <c i="2" r="N9"/>
  <c i="2" r="M16"/>
  <c i="2" r="M8"/>
  <c i="2" r="L17"/>
  <c i="2" r="L9"/>
  <c i="2" r="J17"/>
  <c i="2" r="J9"/>
  <c i="2" r="K8"/>
  <c i="2" r="M24"/>
  <c i="2" r="K24"/>
  <c i="2" r="K16"/>
  <c i="3" r="S9"/>
  <c i="3" r="R9"/>
  <c i="3" r="Q9"/>
  <c i="3" r="P9"/>
  <c i="3" r="O9"/>
  <c i="3" r="N9"/>
  <c i="3" r="H9"/>
  <c i="3" r="G9"/>
  <c i="2" r="I16"/>
  <c i="2" r="I8"/>
  <c i="3" l="1" r="C2"/>
  <c i="7" r="B3"/>
  <c i="8" r="B3"/>
  <c i="6" r="B3"/>
  <c i="9" r="B3"/>
  <c i="11" r="B3"/>
  <c i="5" r="B3"/>
  <c i="10" r="B3"/>
  <c i="4" r="B3"/>
  <c i="3" r="B3"/>
  <c i="2" r="B3"/>
  <c i="1" r="B3"/>
  <c i="1" r="E12"/>
  <c i="1" r="H12" s="1"/>
  <c i="1" r="E11"/>
  <c i="1" r="G11" s="1"/>
  <c i="1" r="G10"/>
  <c i="1" r="E10"/>
  <c i="1" r="F10" s="1"/>
  <c i="1" r="E9"/>
  <c i="1" r="H9" s="1"/>
  <c i="1" r="E8"/>
  <c i="1" r="H8" s="1"/>
  <c i="10" r="D22"/>
  <c i="10" r="D28"/>
  <c i="1" l="1" r="H10"/>
  <c i="1" r="I10" s="1"/>
  <c i="1" r="G9"/>
  <c i="1" r="I9" s="1"/>
  <c i="1" r="G12"/>
  <c i="1" r="I12" s="1"/>
  <c i="1" r="F8"/>
  <c i="1" r="F11"/>
  <c i="1" r="G8"/>
  <c i="1" r="I8" s="1"/>
  <c i="1" r="H11"/>
  <c i="1" r="I11" s="1"/>
  <c i="1" r="F9"/>
  <c i="1" r="F12"/>
  <c i="6" r="K23"/>
  <c i="6" r="K21"/>
  <c i="6" r="K20"/>
  <c i="6" r="K19"/>
  <c i="6" r="K16"/>
  <c i="6" r="K14"/>
  <c i="6" r="K13"/>
  <c i="6" r="K12"/>
  <c i="6" r="K11"/>
  <c i="6" r="K10"/>
  <c i="6" r="K9"/>
  <c i="1" l="1" r="H13"/>
  <c i="1" r="F13"/>
  <c i="1" r="I13"/>
  <c i="1" r="G13"/>
  <c i="10" r="E28"/>
  <c i="10" r="C28"/>
  <c i="10" r="E22"/>
  <c i="10" r="C22"/>
  <c i="6" l="1" r="F23"/>
  <c i="6" r="F21"/>
  <c i="6" r="F20"/>
  <c i="6" r="F19"/>
  <c i="6" r="F16"/>
  <c i="6" r="F14"/>
  <c i="6" r="F13"/>
  <c i="6" r="F12"/>
  <c i="6" r="F11"/>
  <c i="6" r="F10"/>
  <c i="6" r="F9"/>
  <c i="7" l="1" r="D14"/>
  <c i="7" r="D13"/>
  <c i="6" r="B31" s="1"/>
  <c i="6" r="B32"/>
  <c i="6" r="B30"/>
  <c i="6" r="B29"/>
  <c i="6" r="B33"/>
  <c i="9" l="1" r="I36"/>
  <c i="9" r="C37"/>
  <c i="6" r="B34"/>
  <c i="6" r="B28"/>
  <c i="9" l="1" r="I37"/>
  <c i="9" r="C38"/>
  <c i="9" l="1" r="D38"/>
  <c i="9" r="L38" s="1"/>
  <c i="9" r="E38"/>
  <c i="9" r="I38"/>
  <c i="9" r="C39"/>
  <c i="9" l="1" r="J38"/>
  <c i="9" r="F38"/>
  <c i="9" r="D39"/>
  <c i="9" r="L39" s="1"/>
  <c i="9" r="E39"/>
  <c i="9" r="I39"/>
  <c i="9" l="1" r="J39"/>
  <c i="9" r="F39"/>
  <c i="7" l="1" r="E32"/>
  <c i="7" r="E29"/>
  <c i="7" r="E28"/>
  <c i="4" r="C27"/>
  <c i="4" r="C29"/>
  <c i="4" r="C28"/>
  <c i="10" l="1" r="C12"/>
  <c i="10" r="C9"/>
  <c i="5" r="Z10"/>
  <c i="5" r="E11"/>
  <c i="5" r="K11"/>
  <c i="5" r="Q11"/>
  <c i="5" r="AB11"/>
  <c i="5" r="AA11"/>
  <c i="5" r="W11"/>
  <c i="5" r="P11"/>
  <c i="8" r="T8"/>
  <c i="5" r="AC11"/>
  <c i="5" r="F11"/>
  <c i="5" r="M11"/>
  <c i="5" r="O11"/>
  <c i="5" r="U11"/>
  <c i="5" r="J11"/>
  <c i="5" r="N11"/>
  <c i="5" r="L11"/>
  <c i="5" r="T11"/>
  <c i="5" r="G11"/>
  <c i="5" r="R10"/>
  <c i="5" r="X11"/>
  <c i="5" r="S11"/>
  <c i="5" r="Y11"/>
  <c i="5" r="R11"/>
  <c i="5" r="Z11"/>
  <c i="5" r="V11"/>
  <c i="9" l="1" r="L12"/>
  <c i="9" r="L14" s="1"/>
  <c i="9" r="K12"/>
  <c i="9" r="K14" s="1"/>
  <c i="9" r="J12"/>
  <c i="9" r="J14" s="1"/>
  <c i="9" r="I12"/>
  <c i="9" r="I14" s="1"/>
  <c i="9" r="H12"/>
  <c i="9" r="H14" s="1"/>
  <c i="12" r="H172"/>
  <c i="12" r="I172" s="1"/>
  <c i="12" r="H171"/>
  <c i="12" r="I171" s="1"/>
  <c i="12" r="H173"/>
  <c i="12" r="I173" s="1"/>
  <c i="12" r="H174"/>
  <c i="12" r="I174" s="1"/>
  <c i="12" r="H170"/>
  <c i="9" r="G35"/>
  <c i="9" r="G37"/>
  <c i="9" r="G39"/>
  <c i="9" r="G38"/>
  <c i="9" r="G36"/>
  <c i="9" l="1" r="G41"/>
  <c i="12" r="I170"/>
  <c i="12" r="H176"/>
  <c i="12" r="I176" s="1"/>
  <c i="12" r="H175"/>
  <c i="12" r="I175" s="1"/>
  <c i="9" r="H38"/>
  <c i="9" r="H39"/>
  <c i="2" l="1" r="F16"/>
  <c i="2" r="F8"/>
  <c i="2" l="1" r="B24"/>
  <c i="7" l="1" r="E96"/>
  <c i="7" r="F96" s="1"/>
  <c i="7" r="G96" s="1"/>
  <c i="7" r="H96" s="1"/>
  <c i="7" r="I96" s="1"/>
  <c i="7" r="J96" s="1"/>
  <c i="7" r="K96" s="1"/>
  <c i="7" r="L96" s="1"/>
  <c i="7" r="M96" s="1"/>
  <c i="7" r="N96" s="1"/>
  <c i="7" r="O96" s="1"/>
  <c i="7" r="P96" s="1"/>
  <c i="7" r="Q96" s="1"/>
  <c i="7" r="R96" s="1"/>
  <c i="7" r="S96" s="1"/>
  <c i="7" r="T96" s="1"/>
  <c i="7" r="U96" s="1"/>
  <c i="7" r="V96" s="1"/>
  <c i="7" r="W96" s="1"/>
  <c i="7" r="X96" s="1"/>
  <c i="7" r="Y96" s="1"/>
  <c i="7" r="C93"/>
  <c i="7" r="E92"/>
  <c i="7" r="F92" s="1"/>
  <c i="7" r="G92" s="1"/>
  <c i="7" r="H92" s="1"/>
  <c i="7" r="I92" s="1"/>
  <c i="7" r="J92" s="1"/>
  <c i="7" r="K92" s="1"/>
  <c i="7" r="L92" s="1"/>
  <c i="7" r="M92" s="1"/>
  <c i="7" r="N92" s="1"/>
  <c i="7" r="O92" s="1"/>
  <c i="7" r="P92" s="1"/>
  <c i="7" r="Q92" s="1"/>
  <c i="7" r="R92" s="1"/>
  <c i="7" r="S92" s="1"/>
  <c i="7" r="T92" s="1"/>
  <c i="7" r="U92" s="1"/>
  <c i="7" r="V92" s="1"/>
  <c i="7" r="W92" s="1"/>
  <c i="7" r="X92" s="1"/>
  <c i="7" r="Y92" s="1"/>
  <c i="7" r="C90"/>
  <c i="7" r="C89"/>
  <c i="7" r="E88"/>
  <c i="7" r="F88" s="1"/>
  <c i="7" r="G88" s="1"/>
  <c i="7" r="H88" s="1"/>
  <c i="7" r="I88" s="1"/>
  <c i="7" r="J88" s="1"/>
  <c i="7" r="K88" s="1"/>
  <c i="7" r="L88" s="1"/>
  <c i="7" r="M88" s="1"/>
  <c i="7" r="N88" s="1"/>
  <c i="7" r="O88" s="1"/>
  <c i="7" r="P88" s="1"/>
  <c i="7" r="Q88" s="1"/>
  <c i="7" r="R88" s="1"/>
  <c i="7" r="S88" s="1"/>
  <c i="7" r="T88" s="1"/>
  <c i="7" r="U88" s="1"/>
  <c i="7" r="V88" s="1"/>
  <c i="7" r="W88" s="1"/>
  <c i="7" r="X88" s="1"/>
  <c i="7" r="Y88" s="1"/>
  <c i="7" r="E82"/>
  <c i="7" r="F82" s="1"/>
  <c i="7" r="G82" s="1"/>
  <c i="7" r="H82" s="1"/>
  <c i="7" r="I82" s="1"/>
  <c i="7" r="J82" s="1"/>
  <c i="7" r="K82" s="1"/>
  <c i="7" r="L82" s="1"/>
  <c i="7" r="M82" s="1"/>
  <c i="7" r="N82" s="1"/>
  <c i="7" r="O82" s="1"/>
  <c i="7" r="P82" s="1"/>
  <c i="7" r="Q82" s="1"/>
  <c i="7" r="R82" s="1"/>
  <c i="7" r="S82" s="1"/>
  <c i="7" r="T82" s="1"/>
  <c i="7" r="U82" s="1"/>
  <c i="7" r="V82" s="1"/>
  <c i="7" r="W82" s="1"/>
  <c i="7" r="X82" s="1"/>
  <c i="7" r="Y82" s="1"/>
  <c i="7" r="E63"/>
  <c i="7" r="F63" s="1"/>
  <c i="7" r="G63" s="1"/>
  <c i="7" r="H63" s="1"/>
  <c i="7" r="I63" s="1"/>
  <c i="7" r="J63" s="1"/>
  <c i="7" r="K63" s="1"/>
  <c i="7" r="L63" s="1"/>
  <c i="7" r="M63" s="1"/>
  <c i="7" r="N63" s="1"/>
  <c i="7" r="O63" s="1"/>
  <c i="7" r="P63" s="1"/>
  <c i="7" r="Q63" s="1"/>
  <c i="7" r="R63" s="1"/>
  <c i="7" r="S63" s="1"/>
  <c i="7" r="T63" s="1"/>
  <c i="7" r="U63" s="1"/>
  <c i="7" r="V63" s="1"/>
  <c i="7" r="W63" s="1"/>
  <c i="7" r="X63" s="1"/>
  <c i="7" r="Y63" s="1"/>
  <c i="7" r="E57"/>
  <c i="7" r="F57" s="1"/>
  <c i="7" r="G57" s="1"/>
  <c i="7" r="H57" s="1"/>
  <c i="7" r="I57" s="1"/>
  <c i="7" r="J57" s="1"/>
  <c i="7" r="K57" s="1"/>
  <c i="7" r="L57" s="1"/>
  <c i="7" r="M57" s="1"/>
  <c i="7" r="N57" s="1"/>
  <c i="7" r="O57" s="1"/>
  <c i="7" r="P57" s="1"/>
  <c i="7" r="Q57" s="1"/>
  <c i="7" r="R57" s="1"/>
  <c i="7" r="S57" s="1"/>
  <c i="7" r="T57" s="1"/>
  <c i="7" r="U57" s="1"/>
  <c i="7" r="V57" s="1"/>
  <c i="7" r="W57" s="1"/>
  <c i="7" r="X57" s="1"/>
  <c i="7" r="Y57" s="1"/>
  <c i="7" r="E39"/>
  <c i="7" r="F39" s="1"/>
  <c i="7" r="G39" s="1"/>
  <c i="7" r="H39" s="1"/>
  <c i="7" r="I39" s="1"/>
  <c i="7" r="J39" s="1"/>
  <c i="7" r="K39" s="1"/>
  <c i="7" r="L39" s="1"/>
  <c i="7" r="M39" s="1"/>
  <c i="7" r="N39" s="1"/>
  <c i="7" r="O39" s="1"/>
  <c i="7" r="P39" s="1"/>
  <c i="7" r="Q39" s="1"/>
  <c i="7" r="R39" s="1"/>
  <c i="7" r="S39" s="1"/>
  <c i="7" r="T39" s="1"/>
  <c i="7" r="U39" s="1"/>
  <c i="7" r="V39" s="1"/>
  <c i="7" r="W39" s="1"/>
  <c i="7" r="X39" s="1"/>
  <c i="7" r="Y39" s="1"/>
  <c i="7" r="E27"/>
  <c i="7" r="F27" s="1"/>
  <c i="7" r="H23"/>
  <c i="7" r="C94" s="1"/>
  <c i="7" r="G20"/>
  <c i="4" r="D51"/>
  <c i="2" r="Q10" s="1"/>
  <c i="4" r="D50"/>
  <c i="4" r="D49"/>
  <c i="4" r="D48"/>
  <c i="4" r="D47"/>
  <c i="4" r="D46"/>
  <c i="4" r="D44"/>
  <c i="2" r="P10" s="1"/>
  <c i="4" r="D43"/>
  <c i="4" r="D42"/>
  <c i="4" r="D41"/>
  <c i="4" r="D40"/>
  <c i="4" r="D39"/>
  <c i="4" r="D37"/>
  <c i="4" r="D36"/>
  <c i="4" r="D35"/>
  <c i="4" r="D34"/>
  <c i="4" r="D33"/>
  <c i="4" r="D32"/>
  <c i="4" r="D30"/>
  <c i="4" r="D29"/>
  <c i="4" r="D28"/>
  <c i="4" r="D27"/>
  <c i="4" r="D26"/>
  <c i="4" r="D25"/>
  <c i="4" r="D23"/>
  <c i="4" r="D22"/>
  <c i="4" r="D21"/>
  <c i="4" r="D20"/>
  <c i="4" r="D19"/>
  <c i="4" r="D18"/>
  <c i="4" r="D17"/>
  <c i="4" r="D15"/>
  <c i="4" r="D14"/>
  <c i="4" r="E14" s="1"/>
  <c i="4" r="D13"/>
  <c i="4" r="E13" s="1"/>
  <c i="4" r="D12"/>
  <c i="4" r="E12" s="1"/>
  <c i="3" r="U8"/>
  <c i="3" r="AA8"/>
  <c i="3" r="Z8"/>
  <c i="3" r="X8"/>
  <c i="3" r="W8"/>
  <c i="3" r="V8"/>
  <c i="4" r="C39"/>
  <c i="9" r="C36"/>
  <c i="2" r="G17"/>
  <c i="2" r="P8"/>
  <c i="8" r="U8"/>
  <c i="2" r="G24"/>
  <c i="4" r="C49"/>
  <c i="2" r="G9"/>
  <c i="8" r="P8"/>
  <c i="8" r="Q8"/>
  <c i="6" r="N9"/>
  <c i="6" r="N11"/>
  <c i="6" r="I31"/>
  <c i="6" r="N14"/>
  <c i="6" r="I30"/>
  <c i="6" r="N10"/>
  <c i="3" r="U9"/>
  <c i="6" r="D31"/>
  <c i="3" r="D9"/>
  <c i="4" r="C36"/>
  <c i="5" r="V10"/>
  <c i="4" r="C26"/>
  <c i="4" r="C32"/>
  <c i="5" r="J10"/>
  <c i="5" r="N10"/>
  <c i="2" r="H9"/>
  <c i="2" r="N10" s="1"/>
  <c i="6" r="N15"/>
  <c i="4" r="C40"/>
  <c i="2" r="H17"/>
  <c i="2" r="N18" s="1"/>
  <c i="6" r="N19"/>
  <c i="6" r="N23"/>
  <c i="6" r="N13"/>
  <c i="6" r="D32"/>
  <c i="4" r="C50"/>
  <c i="2" r="E17"/>
  <c i="4" r="C25"/>
  <c i="6" r="N22"/>
  <c i="2" r="E9"/>
  <c i="4" r="C48"/>
  <c i="8" r="S8"/>
  <c i="6" r="N12"/>
  <c i="2" r="Q8"/>
  <c i="8" r="R8"/>
  <c i="2" r="E18"/>
  <c i="6" r="N20"/>
  <c i="6" r="N17"/>
  <c i="4" r="C35"/>
  <c i="6" r="N21"/>
  <c i="4" r="C42"/>
  <c i="9" r="C35"/>
  <c i="4" r="C43"/>
  <c i="6" r="N16"/>
  <c i="3" r="J9"/>
  <c i="3" r="V9"/>
  <c i="3" r="X9"/>
  <c i="3" r="W9"/>
  <c i="3" r="AA9"/>
  <c i="3" r="Z9"/>
  <c i="2" r="L10"/>
  <c i="2" r="J10"/>
  <c i="2" r="L18"/>
  <c i="2" r="J18"/>
  <c i="2" r="K10"/>
  <c i="2" r="O10"/>
  <c i="2" r="M10"/>
  <c i="2" r="K18"/>
  <c i="2" r="O18"/>
  <c i="2" r="M18"/>
  <c i="8" l="1" r="C2"/>
  <c i="9" r="E36"/>
  <c i="9" r="D36"/>
  <c i="9" r="I35"/>
  <c i="9" r="C40"/>
  <c i="9" r="C41"/>
  <c i="9" r="K40"/>
  <c i="9" r="G40"/>
  <c i="9" r="E35"/>
  <c i="9" r="D35"/>
  <c i="7" r="F60"/>
  <c i="7" r="F32"/>
  <c i="7" r="G32" s="1"/>
  <c i="7" r="E60"/>
  <c i="7" r="E43"/>
  <c i="7" r="E68"/>
  <c i="7" r="F43"/>
  <c i="7" r="F68"/>
  <c i="7" r="G27"/>
  <c i="4" r="E27"/>
  <c i="4" r="E36"/>
  <c i="4" r="E40"/>
  <c i="4" r="E49"/>
  <c i="4" r="E25"/>
  <c i="4" r="C30"/>
  <c i="4" r="E30" s="1"/>
  <c i="4" r="E43"/>
  <c i="4" r="E28"/>
  <c i="4" r="E32"/>
  <c i="4" r="E50"/>
  <c i="4" r="E26"/>
  <c i="4" r="E35"/>
  <c i="4" r="E29"/>
  <c i="4" r="E39"/>
  <c i="4" r="E48"/>
  <c i="4" r="E42"/>
  <c i="7" r="F28"/>
  <c i="6" r="I29"/>
  <c i="6" r="E31"/>
  <c i="6" r="K30"/>
  <c i="6" r="I33"/>
  <c i="7" r="F29"/>
  <c i="6" r="J31"/>
  <c i="4" r="C46"/>
  <c i="4" r="C41"/>
  <c i="7" r="G28"/>
  <c i="6" r="N31"/>
  <c i="6" r="E32"/>
  <c i="3" r="I9"/>
  <c i="4" r="C47"/>
  <c i="3" r="AB8"/>
  <c i="2" r="F17"/>
  <c i="6" r="D30"/>
  <c i="6" r="N30" s="1"/>
  <c i="6" r="E30"/>
  <c i="3" r="K9"/>
  <c i="3" r="Y9"/>
  <c i="6" r="J30"/>
  <c i="6" r="D34"/>
  <c i="6" r="K31"/>
  <c i="6" r="I34"/>
  <c i="6" r="D33"/>
  <c i="6" r="I32"/>
  <c i="4" r="C33"/>
  <c i="3" r="Y8"/>
  <c i="3" r="AB9"/>
  <c i="2" r="F9"/>
  <c i="2" r="E10"/>
  <c i="6" r="F31"/>
  <c i="6" r="F32"/>
  <c i="3" r="U10"/>
  <c i="8" r="V8"/>
  <c i="7" r="G29"/>
  <c i="3" r="U11"/>
  <c i="3" r="U12"/>
  <c i="3" r="U13"/>
  <c i="3" r="U14"/>
  <c i="3" r="U15"/>
  <c i="3" r="U16"/>
  <c i="3" r="U17"/>
  <c i="3" r="U18"/>
  <c i="3" r="U19"/>
  <c i="3" r="U20"/>
  <c i="3" r="U21"/>
  <c i="3" r="U22"/>
  <c i="3" r="U23"/>
  <c i="3" r="U24"/>
  <c i="3" r="U25"/>
  <c i="3" r="U26"/>
  <c i="3" r="U27"/>
  <c i="3" r="U28"/>
  <c i="3" r="U29"/>
  <c i="3" r="U30"/>
  <c i="3" r="AA30" s="1"/>
  <c i="3" r="V11"/>
  <c i="3" r="V10"/>
  <c i="3" r="V13"/>
  <c i="3" r="V12"/>
  <c i="3" r="V15"/>
  <c i="3" r="V14"/>
  <c i="3" r="V17"/>
  <c i="3" r="V16"/>
  <c i="3" r="V19"/>
  <c i="3" r="V18"/>
  <c i="3" r="V21"/>
  <c i="3" r="V20"/>
  <c i="3" r="V23"/>
  <c i="3" r="V22"/>
  <c i="3" r="V25"/>
  <c i="3" r="V24"/>
  <c i="3" r="V27"/>
  <c i="3" r="V26"/>
  <c i="3" r="V29"/>
  <c i="3" r="V28"/>
  <c i="3" r="W30"/>
  <c i="3" r="V30"/>
  <c i="3" r="Y30"/>
  <c i="3" r="X10"/>
  <c i="3" r="W10"/>
  <c i="3" r="Y10" s="1"/>
  <c i="3" r="X11"/>
  <c i="3" r="W11"/>
  <c i="3" r="Y11" s="1"/>
  <c i="3" r="X12"/>
  <c i="3" r="W12"/>
  <c i="3" r="Y12" s="1"/>
  <c i="3" r="X13"/>
  <c i="3" r="W13"/>
  <c i="3" r="Y13" s="1"/>
  <c i="3" r="X14"/>
  <c i="3" r="W14"/>
  <c i="3" r="Y14" s="1"/>
  <c i="3" r="X15"/>
  <c i="3" r="W15"/>
  <c i="3" r="Y15" s="1"/>
  <c i="3" r="X16"/>
  <c i="3" r="W16"/>
  <c i="3" r="Y16" s="1"/>
  <c i="3" r="X17"/>
  <c i="3" r="W17"/>
  <c i="3" r="Y17" s="1"/>
  <c i="3" r="X18"/>
  <c i="3" r="W18"/>
  <c i="3" r="Y18" s="1"/>
  <c i="3" r="X19"/>
  <c i="3" r="W19"/>
  <c i="3" r="Y19" s="1"/>
  <c i="3" r="X20"/>
  <c i="3" r="W20"/>
  <c i="3" r="Y20" s="1"/>
  <c i="3" r="X21"/>
  <c i="3" r="W21"/>
  <c i="3" r="Y21" s="1"/>
  <c i="3" r="X22"/>
  <c i="3" r="W22"/>
  <c i="3" r="Y22" s="1"/>
  <c i="3" r="X23"/>
  <c i="3" r="W23"/>
  <c i="3" r="Y23" s="1"/>
  <c i="3" r="X24"/>
  <c i="3" r="W24"/>
  <c i="3" r="Y24" s="1"/>
  <c i="3" r="X25"/>
  <c i="3" r="W25"/>
  <c i="3" r="Y25" s="1"/>
  <c i="3" r="X26"/>
  <c i="3" r="W26"/>
  <c i="3" r="Y26" s="1"/>
  <c i="3" r="X27"/>
  <c i="3" r="W27"/>
  <c i="3" r="Y27" s="1"/>
  <c i="3" r="X28"/>
  <c i="3" r="W28"/>
  <c i="3" r="Y28" s="1"/>
  <c i="3" r="X29"/>
  <c i="3" r="W29"/>
  <c i="3" r="Y29" s="1"/>
  <c i="3" r="Z30"/>
  <c i="3" r="AB30" s="1"/>
  <c i="3" r="X30"/>
  <c i="3" r="AA10"/>
  <c i="3" r="Z10"/>
  <c i="3" r="AB10" s="1"/>
  <c i="3" r="AA11"/>
  <c i="3" r="Z11"/>
  <c i="3" r="AB11" s="1"/>
  <c i="3" r="AA12"/>
  <c i="3" r="Z12"/>
  <c i="3" r="AB12" s="1"/>
  <c i="3" r="AA13"/>
  <c i="3" r="Z13"/>
  <c i="3" r="AB13" s="1"/>
  <c i="3" r="AA14"/>
  <c i="3" r="Z14"/>
  <c i="3" r="AB14" s="1"/>
  <c i="3" r="AA15"/>
  <c i="3" r="Z15"/>
  <c i="3" r="AB15" s="1"/>
  <c i="3" r="AA16"/>
  <c i="3" r="Z16"/>
  <c i="3" r="AB16" s="1"/>
  <c i="3" r="AA17"/>
  <c i="3" r="Z17"/>
  <c i="3" r="AB17" s="1"/>
  <c i="3" r="AA18"/>
  <c i="3" r="Z18"/>
  <c i="3" r="AB18" s="1"/>
  <c i="3" r="AA19"/>
  <c i="3" r="Z19"/>
  <c i="3" r="AB19" s="1"/>
  <c i="3" r="AA20"/>
  <c i="3" r="Z20"/>
  <c i="3" r="AB20" s="1"/>
  <c i="3" r="AA21"/>
  <c i="3" r="Z21"/>
  <c i="3" r="AB21" s="1"/>
  <c i="3" r="AA22"/>
  <c i="3" r="Z22"/>
  <c i="3" r="AB22" s="1"/>
  <c i="3" r="AA23"/>
  <c i="3" r="Z23"/>
  <c i="3" r="AB23" s="1"/>
  <c i="3" r="AA24"/>
  <c i="3" r="Z24"/>
  <c i="3" r="AB24" s="1"/>
  <c i="3" r="AA25"/>
  <c i="3" r="Z25"/>
  <c i="3" r="AB25" s="1"/>
  <c i="3" r="AA26"/>
  <c i="3" r="Z26"/>
  <c i="3" r="AB26" s="1"/>
  <c i="3" r="AA27"/>
  <c i="3" r="Z27"/>
  <c i="3" r="AB27" s="1"/>
  <c i="3" r="AA28"/>
  <c i="3" r="Z28"/>
  <c i="3" r="AB28" s="1"/>
  <c i="3" r="AA29"/>
  <c i="3" r="Z29"/>
  <c i="3" r="AB29" s="1"/>
  <c i="9" l="1" r="I40"/>
  <c i="9" r="I41"/>
  <c i="7" r="F30"/>
  <c i="7" r="F33" s="1"/>
  <c i="4" r="E33"/>
  <c i="4" r="E41"/>
  <c i="9" r="E37"/>
  <c i="9" r="D37"/>
  <c i="9" r="D40" s="1"/>
  <c i="4" r="E47"/>
  <c i="9" r="L36"/>
  <c i="9" r="J36"/>
  <c i="9" r="H36"/>
  <c i="9" r="F36"/>
  <c i="4" r="E46"/>
  <c i="9" r="L35"/>
  <c i="9" r="J35"/>
  <c i="9" r="H35"/>
  <c i="9" r="F35"/>
  <c i="7" r="F44"/>
  <c i="7" r="F69"/>
  <c i="7" r="E44"/>
  <c i="7" r="E69"/>
  <c i="7" r="G30"/>
  <c i="7" r="G33" s="1"/>
  <c i="7" r="G60"/>
  <c i="7" r="G43"/>
  <c i="7" r="G68"/>
  <c i="7" r="H32"/>
  <c i="7" r="H27"/>
  <c i="4" r="C44"/>
  <c i="7" r="E30"/>
  <c i="4" r="C34"/>
  <c i="6" r="F34"/>
  <c i="3" r="L9"/>
  <c i="6" r="K32"/>
  <c i="6" r="N32"/>
  <c i="6" r="D28"/>
  <c i="6" r="G30"/>
  <c i="6" r="L32"/>
  <c i="2" r="I10"/>
  <c i="7" r="H28"/>
  <c i="6" r="E34"/>
  <c i="7" r="H29"/>
  <c i="6" r="J34"/>
  <c i="6" r="J33"/>
  <c i="3" r="M9"/>
  <c i="6" r="L31"/>
  <c i="6" r="G31"/>
  <c i="6" r="N33"/>
  <c i="6" r="G34"/>
  <c i="6" r="L33"/>
  <c i="6" r="N34"/>
  <c i="6" r="E33"/>
  <c i="6" r="L34"/>
  <c i="6" r="G32"/>
  <c i="6" r="K33"/>
  <c i="6" r="L30"/>
  <c i="6" r="G33"/>
  <c i="6" r="F33"/>
  <c i="6" r="D29"/>
  <c i="6" r="F29"/>
  <c i="6" r="N29"/>
  <c i="6" r="L29"/>
  <c i="6" r="K29"/>
  <c i="6" r="J32"/>
  <c i="6" r="F30"/>
  <c i="6" r="K34"/>
  <c i="2" r="I18"/>
  <c i="6" r="J29"/>
  <c i="9" l="1" r="J40"/>
  <c i="7" r="F35"/>
  <c i="7" r="F66" s="1"/>
  <c i="7" r="E33"/>
  <c i="7" r="E35"/>
  <c i="7" r="E66" s="1"/>
  <c i="4" r="C37"/>
  <c i="4" r="E37" s="1"/>
  <c i="4" r="E34"/>
  <c i="9" r="D41"/>
  <c i="9" r="L41" s="1"/>
  <c i="9" r="F37"/>
  <c i="9" r="E40"/>
  <c i="9" r="F40" s="1"/>
  <c i="9" r="E41"/>
  <c i="9" r="H40"/>
  <c i="9" r="L37"/>
  <c i="9" r="J37"/>
  <c i="9" r="H37"/>
  <c i="9" r="L40"/>
  <c i="7" r="G35"/>
  <c i="7" r="G66" s="1"/>
  <c i="7" r="G44"/>
  <c i="7" r="G69"/>
  <c i="7" r="H30"/>
  <c i="7" r="H33" s="1"/>
  <c i="7" r="H43"/>
  <c i="7" r="I27"/>
  <c i="7" r="H60"/>
  <c i="7" r="I32"/>
  <c i="7" r="H68"/>
  <c i="4" r="E44"/>
  <c i="6" r="G28"/>
  <c i="6" r="G29"/>
  <c i="7" r="I28"/>
  <c i="6" r="I28"/>
  <c i="6" r="E28"/>
  <c i="6" r="E29"/>
  <c i="6" r="F28"/>
  <c i="7" l="1" r="E42"/>
  <c i="7" r="E45" s="1"/>
  <c i="7" r="D6"/>
  <c i="1" r="G21" s="1"/>
  <c i="7" r="F42"/>
  <c i="7" r="F45" s="1"/>
  <c i="4" r="C51"/>
  <c i="4" r="E51" s="1"/>
  <c i="9" r="J41"/>
  <c i="9" r="H41"/>
  <c i="9" r="F41"/>
  <c i="7" r="G42"/>
  <c i="7" r="G45" s="1"/>
  <c i="7" r="H35"/>
  <c i="7" r="H66" s="1"/>
  <c i="7" r="H44"/>
  <c i="7" r="H69"/>
  <c i="7" r="I60"/>
  <c i="7" r="I43"/>
  <c i="7" r="I68"/>
  <c i="7" r="J32"/>
  <c i="7" r="J27"/>
  <c i="6" r="L28"/>
  <c i="6" r="K28"/>
  <c i="6" r="J28"/>
  <c i="7" r="I29"/>
  <c i="6" r="N28"/>
  <c i="1" l="1" r="H21"/>
  <c i="12" r="J107" s="1"/>
  <c i="12" r="I107"/>
  <c i="1" r="I21"/>
  <c i="12" r="K107" s="1"/>
  <c i="7" r="D64"/>
  <c i="7" r="H14"/>
  <c i="1" r="G26" s="1"/>
  <c i="7" r="D65"/>
  <c i="7" r="D40"/>
  <c i="7" r="D41"/>
  <c i="1" r="G22" s="1"/>
  <c i="12" r="I108" s="1"/>
  <c i="7" r="H42"/>
  <c i="7" r="I69"/>
  <c i="7" r="I44"/>
  <c i="7" r="I30"/>
  <c i="7" r="I33" s="1"/>
  <c i="7" r="J29"/>
  <c i="7" r="J28"/>
  <c i="1" l="1" r="I26"/>
  <c i="12" r="K112" s="1"/>
  <c i="12" r="I112"/>
  <c i="1" r="H22"/>
  <c i="12" r="J108" s="1"/>
  <c i="7" r="H15"/>
  <c i="7" r="H16" s="1"/>
  <c i="7" r="D58"/>
  <c i="7" r="D61" s="1"/>
  <c i="7" r="D67" s="1"/>
  <c i="7" r="D70" s="1"/>
  <c i="7" r="C73" s="1"/>
  <c i="1" r="G32" s="1"/>
  <c i="12" r="I118" s="1"/>
  <c i="1" r="H26"/>
  <c i="12" r="J112" s="1"/>
  <c i="7" r="D45"/>
  <c i="1" r="I22"/>
  <c i="12" r="K108" s="1"/>
  <c i="1" r="G23"/>
  <c i="12" r="I109" s="1"/>
  <c i="7" r="H18"/>
  <c i="7" r="I35"/>
  <c i="7" r="I42" s="1"/>
  <c i="7" r="I45" s="1"/>
  <c i="7" r="H45"/>
  <c i="7" r="J30"/>
  <c i="7" r="J33" s="1"/>
  <c i="7" r="J68"/>
  <c i="7" r="J43"/>
  <c i="7" r="J60"/>
  <c i="7" r="K27"/>
  <c i="7" r="K32"/>
  <c i="1" l="1" r="H23"/>
  <c i="12" r="J109" s="1"/>
  <c i="7" r="H17"/>
  <c i="1" r="I23"/>
  <c i="12" r="K109" s="1"/>
  <c i="7" r="I66"/>
  <c i="7" r="J35"/>
  <c i="7" r="J66" s="1"/>
  <c i="7" r="J69"/>
  <c i="7" r="J44"/>
  <c i="7" r="C48"/>
  <c i="1" r="F32" s="1"/>
  <c i="12" r="H118" s="1"/>
  <c i="7" r="H20"/>
  <c i="1" r="G28" s="1"/>
  <c i="12" r="I114" s="1"/>
  <c i="7" r="E59"/>
  <c i="7" r="E61" s="1"/>
  <c i="7" r="E67" s="1"/>
  <c i="7" r="E70" s="1"/>
  <c i="7" r="F59"/>
  <c i="7" r="F61" s="1"/>
  <c i="7" r="F67" s="1"/>
  <c i="7" r="F70" s="1"/>
  <c i="7" r="G59"/>
  <c i="7" r="G61" s="1"/>
  <c i="7" r="G67" s="1"/>
  <c i="7" r="G70" s="1"/>
  <c i="7" r="H59"/>
  <c i="7" r="H61" s="1"/>
  <c i="7" r="H67" s="1"/>
  <c i="7" r="H70" s="1"/>
  <c i="7" r="I59"/>
  <c i="7" r="I61" s="1"/>
  <c i="7" r="I67" s="1"/>
  <c i="7" r="J59"/>
  <c i="7" r="J61" s="1"/>
  <c i="7" r="J67" s="1"/>
  <c i="7" r="C53"/>
  <c i="1" r="F37" s="1"/>
  <c i="12" r="H123" s="1"/>
  <c i="7" r="L32"/>
  <c i="7" r="K59"/>
  <c i="7" r="K60"/>
  <c i="7" r="K68"/>
  <c i="7" r="K43"/>
  <c i="7" r="L27"/>
  <c i="7" r="K28"/>
  <c i="7" r="K29"/>
  <c i="1" l="1" r="H28"/>
  <c i="12" r="J114" s="1"/>
  <c i="1" r="I28"/>
  <c i="12" r="K114" s="1"/>
  <c i="7" r="I70"/>
  <c i="7" r="J42"/>
  <c i="7" r="J45" s="1"/>
  <c i="7" r="K44"/>
  <c i="7" r="K69"/>
  <c i="7" r="E83"/>
  <c i="7" r="K30"/>
  <c i="7" r="K33" s="1"/>
  <c i="7" r="L29"/>
  <c i="7" r="L28"/>
  <c i="7" l="1" r="K35"/>
  <c i="7" r="K66" s="1"/>
  <c i="7" r="H19"/>
  <c i="1" r="G27" s="1"/>
  <c i="12" r="I113" s="1"/>
  <c i="7" r="J70"/>
  <c i="7" r="L30"/>
  <c i="7" r="L33" s="1"/>
  <c i="7" r="L68"/>
  <c i="7" r="L59"/>
  <c i="7" r="L60"/>
  <c i="7" r="M27"/>
  <c i="7" r="L43"/>
  <c i="7" r="M32"/>
  <c i="7" r="K61"/>
  <c i="7" r="K67" s="1"/>
  <c i="7" r="E84"/>
  <c i="7" r="E85" s="1"/>
  <c i="7" r="C78"/>
  <c i="1" r="G37" s="1"/>
  <c i="12" r="I123" s="1"/>
  <c i="7" r="D23"/>
  <c i="7" r="D90"/>
  <c i="7" r="D98" s="1"/>
  <c i="7" r="D102"/>
  <c i="1" r="I32" s="1"/>
  <c i="12" r="K118" s="1"/>
  <c i="1" l="1" r="I27"/>
  <c i="12" r="K113" s="1"/>
  <c i="1" r="H27"/>
  <c i="12" r="J113" s="1"/>
  <c i="1" r="G29"/>
  <c i="12" r="I115" s="1"/>
  <c i="7" r="L61"/>
  <c i="7" r="L67" s="1"/>
  <c i="7" r="D89"/>
  <c i="7" r="K42"/>
  <c i="7" r="K45" s="1"/>
  <c i="7" r="L35"/>
  <c i="7" r="L66" s="1"/>
  <c i="7" r="L69"/>
  <c i="7" r="L44"/>
  <c i="7" r="K70"/>
  <c i="7" r="M29"/>
  <c i="7" r="M28"/>
  <c i="1" l="1" r="I29"/>
  <c i="12" r="K115" s="1"/>
  <c i="1" r="H29"/>
  <c i="12" r="J115" s="1"/>
  <c i="7" r="C102"/>
  <c i="1" r="H32" s="1"/>
  <c i="12" r="J118" s="1"/>
  <c i="7" r="L42"/>
  <c i="7" r="M30"/>
  <c i="7" r="M33" s="1"/>
  <c i="7" r="E86"/>
  <c i="7" r="E87" s="1"/>
  <c i="7" r="F83" s="1"/>
  <c i="7" r="L70"/>
  <c i="7" r="D91"/>
  <c i="7" r="D97"/>
  <c i="7" r="M68"/>
  <c i="7" r="M60"/>
  <c i="7" r="N32"/>
  <c i="7" r="M43"/>
  <c i="7" r="M59"/>
  <c i="7" r="N27"/>
  <c i="7" r="E102"/>
  <c i="7" l="1" r="M35"/>
  <c i="7" r="M42" s="1"/>
  <c i="7" r="M69"/>
  <c i="7" r="M44"/>
  <c i="7" r="M61"/>
  <c i="7" r="M67" s="1"/>
  <c i="7" r="N28"/>
  <c i="7" r="N29"/>
  <c i="7" l="1" r="L45"/>
  <c i="7" r="M66"/>
  <c i="7" r="M70" s="1"/>
  <c i="7" r="N30"/>
  <c i="7" r="N33" s="1"/>
  <c i="7" r="F84"/>
  <c i="7" r="F85" s="1"/>
  <c i="7" r="D99"/>
  <c i="7" r="N59"/>
  <c i="7" r="N60"/>
  <c i="7" r="O27"/>
  <c i="7" r="O32"/>
  <c i="7" r="E89"/>
  <c i="7" r="E90"/>
  <c i="7" r="M45"/>
  <c i="7" r="O28"/>
  <c i="7" r="O29"/>
  <c i="7" l="1" r="N35"/>
  <c i="7" r="N66" s="1"/>
  <c i="7" r="O30"/>
  <c i="7" r="O33" s="1"/>
  <c i="7" r="F86"/>
  <c i="7" r="F87" s="1"/>
  <c i="7" r="G83" s="1"/>
  <c i="7" r="E91"/>
  <c i="7" r="N61"/>
  <c i="7" r="N67" s="1"/>
  <c i="7" r="O66"/>
  <c i="7" r="O60"/>
  <c i="7" r="O43"/>
  <c i="7" r="O59"/>
  <c i="7" r="P30"/>
  <c i="7" r="P28"/>
  <c i="7" r="O42"/>
  <c i="7" r="P32"/>
  <c i="7" r="O83"/>
  <c i="7" r="P29"/>
  <c i="7" r="O68"/>
  <c i="7" r="P35"/>
  <c i="7" r="P27"/>
  <c i="7" r="O84"/>
  <c i="7" l="1" r="P33"/>
  <c i="7" r="N42"/>
  <c i="7" r="O35"/>
  <c i="7" r="N43" s="1"/>
  <c i="7" r="O44"/>
  <c i="7" r="O45" s="1"/>
  <c i="7" r="O69"/>
  <c i="7" r="P83"/>
  <c i="7" r="P84"/>
  <c i="7" r="Q29"/>
  <c i="7" r="P66"/>
  <c i="7" r="P59"/>
  <c i="7" r="P43"/>
  <c i="7" r="P42"/>
  <c i="7" r="Q32"/>
  <c i="7" r="Q27"/>
  <c i="7" r="Q35"/>
  <c i="7" r="P60"/>
  <c i="7" r="P68"/>
  <c i="7" r="Q28"/>
  <c i="7" r="Q30"/>
  <c i="7" r="E94"/>
  <c i="7" r="E98" s="1"/>
  <c i="7" r="E93"/>
  <c i="7" r="O61"/>
  <c i="7" r="O67" s="1"/>
  <c i="7" r="G84"/>
  <c i="7" r="G85" s="1"/>
  <c i="7" r="O85"/>
  <c i="7" r="F89"/>
  <c i="7" r="F90"/>
  <c i="7" l="1" r="Q33"/>
  <c i="7" r="N68"/>
  <c i="7" r="N69" s="1"/>
  <c i="7" r="N70" s="1"/>
  <c i="7" r="P44"/>
  <c i="7" r="P45" s="1"/>
  <c i="7" r="P69"/>
  <c i="7" r="O70"/>
  <c i="7" r="O86" s="1"/>
  <c i="7" r="O87" s="1"/>
  <c i="7" r="G86"/>
  <c i="7" r="G87" s="1"/>
  <c i="7" r="H83" s="1"/>
  <c i="7" r="P61"/>
  <c i="7" r="P67" s="1"/>
  <c i="7" r="F91"/>
  <c i="7" r="E95"/>
  <c i="7" r="E97"/>
  <c i="7" r="Q60"/>
  <c i="7" r="Q43"/>
  <c i="7" r="Q83"/>
  <c i="7" r="Q42"/>
  <c i="7" r="R32"/>
  <c i="7" r="Q68"/>
  <c i="7" r="Q59"/>
  <c i="7" r="R35"/>
  <c i="7" r="R27"/>
  <c i="7" r="R28"/>
  <c i="7" r="Q84"/>
  <c i="7" r="R29"/>
  <c i="7" r="Q66"/>
  <c i="7" r="R30"/>
  <c i="7" r="P85"/>
  <c i="7" r="D107"/>
  <c i="1" r="I37" s="1"/>
  <c i="12" r="K123" s="1"/>
  <c i="7" l="1" r="R33"/>
  <c i="7" r="N44"/>
  <c i="7" r="N45" s="1"/>
  <c i="7" r="Q69"/>
  <c i="7" r="Q44"/>
  <c i="7" r="Q45" s="1"/>
  <c i="7" r="P70"/>
  <c i="7" r="P86" s="1"/>
  <c i="7" r="P87" s="1"/>
  <c i="7" r="F93"/>
  <c i="7" r="F94"/>
  <c i="7" r="F98" s="1"/>
  <c i="7" r="Q85"/>
  <c i="7" r="R83"/>
  <c i="7" r="R68"/>
  <c i="7" r="R84"/>
  <c i="7" r="R43"/>
  <c i="7" r="S29"/>
  <c i="7" r="R66"/>
  <c i="7" r="S35"/>
  <c i="7" r="S27"/>
  <c i="7" r="S28"/>
  <c i="7" r="R42"/>
  <c i="7" r="S32"/>
  <c i="7" r="R60"/>
  <c i="7" r="R59"/>
  <c i="7" r="S30"/>
  <c i="7" r="O89"/>
  <c i="7" r="O90"/>
  <c i="7" r="C107"/>
  <c i="1" r="H37" s="1"/>
  <c i="12" r="J123" s="1"/>
  <c i="7" r="E99"/>
  <c i="7" r="H84"/>
  <c i="7" r="H85" s="1"/>
  <c i="7" r="Q61"/>
  <c i="7" r="Q67" s="1"/>
  <c i="7" r="G89"/>
  <c i="7" r="G90"/>
  <c i="7" l="1" r="R61"/>
  <c i="7" r="R67" s="1"/>
  <c i="7" r="S33"/>
  <c i="7" r="Q70"/>
  <c i="7" r="R69"/>
  <c i="7" r="R44"/>
  <c i="7" r="R45" s="1"/>
  <c i="7" r="H86"/>
  <c i="7" r="F95"/>
  <c i="7" r="F97"/>
  <c i="7" r="G91"/>
  <c i="7" r="E107"/>
  <c i="7" r="P89"/>
  <c i="7" r="P90"/>
  <c i="7" r="O91"/>
  <c i="7" r="R85"/>
  <c i="7" r="S42"/>
  <c i="7" r="T32"/>
  <c i="7" r="S59"/>
  <c i="7" r="T30"/>
  <c i="7" r="T28"/>
  <c i="7" r="T27"/>
  <c i="7" r="T29"/>
  <c i="7" r="S84"/>
  <c i="7" r="S60"/>
  <c i="7" r="S66"/>
  <c i="7" r="S83"/>
  <c i="7" r="S68"/>
  <c i="7" r="S43"/>
  <c i="7" r="T35"/>
  <c i="7" l="1" r="R70"/>
  <c i="7" r="T33"/>
  <c i="7" r="Q86"/>
  <c i="7" r="Q90" s="1"/>
  <c i="7" r="S69"/>
  <c i="7" r="S44"/>
  <c i="7" r="S45" s="1"/>
  <c i="7" r="S85"/>
  <c i="7" r="S61"/>
  <c i="7" r="S67" s="1"/>
  <c i="7" r="R86"/>
  <c i="7" r="O94"/>
  <c i="7" r="O98" s="1"/>
  <c i="7" r="O93"/>
  <c i="7" r="T68"/>
  <c i="7" r="T84"/>
  <c i="7" r="T59"/>
  <c i="7" r="T42"/>
  <c i="7" r="T43"/>
  <c i="7" r="U29"/>
  <c i="7" r="T66"/>
  <c i="7" r="U35"/>
  <c i="7" r="U27"/>
  <c i="7" r="T60"/>
  <c i="7" r="U30"/>
  <c i="7" r="U32"/>
  <c i="7" r="T83"/>
  <c i="7" r="U28"/>
  <c i="7" r="G93"/>
  <c i="7" r="G94"/>
  <c i="7" r="G98" s="1"/>
  <c i="7" r="H89"/>
  <c i="7" r="H90"/>
  <c i="7" r="F99"/>
  <c i="7" r="P91"/>
  <c i="7" r="H87"/>
  <c i="7" r="I83" s="1"/>
  <c i="7" l="1" r="Q87"/>
  <c i="7" r="Q89"/>
  <c i="7" r="Q91" s="1"/>
  <c i="7" r="U33"/>
  <c i="7" r="T61"/>
  <c i="7" r="T67" s="1"/>
  <c i="7" r="T69"/>
  <c i="7" r="T44"/>
  <c i="7" r="T45" s="1"/>
  <c i="7" r="T85"/>
  <c i="7" r="S70"/>
  <c i="7" r="S86" s="1"/>
  <c i="7" r="P93"/>
  <c i="7" r="P94"/>
  <c i="7" r="P98" s="1"/>
  <c i="7" r="H91"/>
  <c i="7" r="U66"/>
  <c i="7" r="U68"/>
  <c i="7" r="V30"/>
  <c i="7" r="V28"/>
  <c i="7" r="U84"/>
  <c i="7" r="U60"/>
  <c i="7" r="U42"/>
  <c i="7" r="V29"/>
  <c i="7" r="U59"/>
  <c i="7" r="V35"/>
  <c i="7" r="U83"/>
  <c i="7" r="V27"/>
  <c i="7" r="U43"/>
  <c i="7" r="V32"/>
  <c i="7" r="O95"/>
  <c i="7" r="O97"/>
  <c i="7" r="O99" s="1"/>
  <c i="7" r="G95"/>
  <c i="7" r="G97"/>
  <c i="7" r="T70"/>
  <c i="7" r="R90"/>
  <c i="7" r="R89"/>
  <c i="7" r="R87"/>
  <c i="7" r="I84"/>
  <c i="7" r="I85" s="1"/>
  <c i="7" l="1" r="V33"/>
  <c i="7" r="U69"/>
  <c i="7" r="U44"/>
  <c i="7" r="U45" s="1"/>
  <c i="7" r="T86"/>
  <c i="7" r="T87" s="1"/>
  <c i="7" r="U61"/>
  <c i="7" r="U67" s="1"/>
  <c i="7" r="I86"/>
  <c i="7" r="H94"/>
  <c i="7" r="H98" s="1"/>
  <c i="7" r="H93"/>
  <c i="7" r="G99"/>
  <c i="7" r="R91"/>
  <c i="7" r="S89"/>
  <c i="7" r="S90"/>
  <c i="7" r="S87"/>
  <c i="7" r="U85"/>
  <c i="7" r="P95"/>
  <c i="7" r="P97"/>
  <c i="7" r="P99" s="1"/>
  <c i="7" r="Q93"/>
  <c i="7" r="Q94"/>
  <c i="7" r="Q98" s="1"/>
  <c i="7" r="V84"/>
  <c i="7" r="V59"/>
  <c i="7" r="V42"/>
  <c i="7" r="W35"/>
  <c i="7" r="V60"/>
  <c i="7" r="V83"/>
  <c i="7" r="V68"/>
  <c i="7" r="V43"/>
  <c i="7" r="W29"/>
  <c i="7" r="V66"/>
  <c i="7" r="W28"/>
  <c i="7" r="W27"/>
  <c i="7" r="W30"/>
  <c i="7" r="W32"/>
  <c i="7" l="1" r="T89"/>
  <c i="7" r="T90"/>
  <c i="7" r="W33"/>
  <c i="7" r="V61"/>
  <c i="7" r="V67" s="1"/>
  <c i="7" r="V44"/>
  <c i="7" r="V45" s="1"/>
  <c i="7" r="V69"/>
  <c i="7" r="U70"/>
  <c i="7" r="U86" s="1"/>
  <c i="7" r="U87" s="1"/>
  <c i="7" r="Q95"/>
  <c i="7" r="Q97"/>
  <c i="7" r="Q99" s="1"/>
  <c i="7" r="V85"/>
  <c i="7" r="R93"/>
  <c i="7" r="R94"/>
  <c i="7" r="R98" s="1"/>
  <c i="7" r="W66"/>
  <c i="7" r="W60"/>
  <c i="7" r="W43"/>
  <c i="7" r="W68"/>
  <c i="7" r="X30"/>
  <c i="7" r="W59"/>
  <c i="7" r="X28"/>
  <c i="7" r="X32"/>
  <c i="7" r="W83"/>
  <c i="7" r="X35"/>
  <c i="7" r="X27"/>
  <c i="7" r="W42"/>
  <c i="7" r="X29"/>
  <c i="7" r="W84"/>
  <c i="7" r="I90"/>
  <c i="7" r="I89"/>
  <c i="7" r="S91"/>
  <c i="7" r="H95"/>
  <c i="7" r="H97"/>
  <c i="7" r="I87"/>
  <c i="7" r="J83" s="1"/>
  <c i="7" l="1" r="V70"/>
  <c i="7" r="V86" s="1"/>
  <c i="7" r="V87" s="1"/>
  <c i="7" r="T91"/>
  <c i="7" r="T94" s="1"/>
  <c i="7" r="T98" s="1"/>
  <c i="7" r="X33"/>
  <c i="7" r="W44"/>
  <c i="7" r="W45" s="1"/>
  <c i="7" r="W69"/>
  <c i="7" r="W61"/>
  <c i="7" r="W67" s="1"/>
  <c i="7" r="I91"/>
  <c i="7" r="R95"/>
  <c i="7" r="R97"/>
  <c i="7" r="R99" s="1"/>
  <c i="7" r="S93"/>
  <c i="7" r="S94"/>
  <c i="7" r="S98" s="1"/>
  <c i="7" r="W85"/>
  <c i="7" r="U89"/>
  <c i="7" r="U90"/>
  <c i="7" r="J84"/>
  <c i="7" r="J85" s="1"/>
  <c i="7" r="H99"/>
  <c i="7" r="X83"/>
  <c i="7" r="X66"/>
  <c i="7" r="X84"/>
  <c i="7" r="Y29"/>
  <c i="7" r="X68"/>
  <c i="7" r="X43"/>
  <c i="7" r="Y27"/>
  <c i="7" r="Y35"/>
  <c i="7" r="Y30"/>
  <c i="7" r="X59"/>
  <c i="7" r="X60"/>
  <c i="7" r="Y32"/>
  <c i="7" r="X42"/>
  <c i="7" r="Y28"/>
  <c i="7" l="1" r="W70"/>
  <c i="7" r="T93"/>
  <c i="7" r="T97" s="1"/>
  <c i="7" r="T99" s="1"/>
  <c i="7" r="Y33"/>
  <c i="7" r="X44"/>
  <c i="7" r="X45" s="1"/>
  <c i="7" r="D19" s="1"/>
  <c i="7" r="X69"/>
  <c i="7" r="X61"/>
  <c i="7" r="X67" s="1"/>
  <c i="7" r="X85"/>
  <c i="7" r="J86"/>
  <c i="7" r="U91"/>
  <c i="7" r="I94"/>
  <c i="7" r="I98" s="1"/>
  <c i="7" r="I93"/>
  <c i="7" r="W86"/>
  <c i="7" r="W87" s="1"/>
  <c i="7" r="V90"/>
  <c i="7" r="V89"/>
  <c i="7" r="S95"/>
  <c i="7" r="S97"/>
  <c i="7" r="S99" s="1"/>
  <c i="7" r="Y60"/>
  <c i="7" r="Y43"/>
  <c i="7" r="Y59"/>
  <c i="7" r="Y42"/>
  <c i="7" r="Y66"/>
  <c i="7" r="Y68"/>
  <c i="7" l="1" r="X70"/>
  <c i="7" r="X86" s="1"/>
  <c i="7" r="T95"/>
  <c i="7" r="Y44"/>
  <c i="7" r="Y69"/>
  <c i="7" r="Y45"/>
  <c i="7" r="J90"/>
  <c i="7" r="J89"/>
  <c i="7" r="V91"/>
  <c i="7" r="I95"/>
  <c i="7" r="I97"/>
  <c i="7" r="I99" s="1"/>
  <c i="7" r="Y61"/>
  <c i="7" r="Y67" s="1"/>
  <c i="7" r="J87"/>
  <c i="7" r="K83" s="1"/>
  <c i="7" r="W89"/>
  <c i="7" r="W90"/>
  <c i="7" r="U94"/>
  <c i="7" r="U98" s="1"/>
  <c i="7" r="U93"/>
  <c i="7" l="1" r="C50"/>
  <c i="7" r="C49"/>
  <c i="1" r="F33" s="1"/>
  <c i="12" r="H119" s="1"/>
  <c i="7" r="Y70"/>
  <c i="7" r="C74" s="1"/>
  <c i="1" r="G33" s="1"/>
  <c i="12" r="I119" s="1"/>
  <c i="7" r="D22"/>
  <c i="7" r="C51"/>
  <c i="1" r="F35" s="1"/>
  <c i="12" r="H121" s="1"/>
  <c i="7" r="C52"/>
  <c i="1" r="F36" s="1"/>
  <c i="12" r="H122" s="1"/>
  <c i="7" r="K84"/>
  <c i="7" r="K85" s="1"/>
  <c i="7" r="J91"/>
  <c i="7" r="X89"/>
  <c i="7" r="X90"/>
  <c i="7" r="X87"/>
  <c i="7" r="U95"/>
  <c i="7" r="U97"/>
  <c i="7" r="U99" s="1"/>
  <c i="7" r="V94"/>
  <c i="7" r="V98" s="1"/>
  <c i="7" r="V93"/>
  <c i="7" r="W91"/>
  <c i="1" l="1" r="F34"/>
  <c i="12" r="H120" s="1"/>
  <c i="1" r="G34"/>
  <c i="12" r="I120" s="1"/>
  <c i="7" r="C77"/>
  <c i="1" r="G36" s="1"/>
  <c i="12" r="I122" s="1"/>
  <c i="7" r="C76"/>
  <c i="1" r="G35" s="1"/>
  <c i="12" r="I121" s="1"/>
  <c i="7" r="D21"/>
  <c i="7" r="C75"/>
  <c i="7" r="D20"/>
  <c i="7" r="K86"/>
  <c i="7" r="K87" s="1"/>
  <c i="7" r="L83" s="1"/>
  <c i="7" r="J93"/>
  <c i="7" r="J94"/>
  <c i="7" r="J98" s="1"/>
  <c i="7" r="W93"/>
  <c i="7" r="W94"/>
  <c i="7" r="W98" s="1"/>
  <c i="7" r="X91"/>
  <c i="7" r="V95"/>
  <c i="7" r="V97"/>
  <c i="7" r="V99" s="1"/>
  <c i="7" l="1" r="X93"/>
  <c i="7" r="X94"/>
  <c i="7" r="X98" s="1"/>
  <c i="7" r="W95"/>
  <c i="7" r="W97"/>
  <c i="7" r="W99" s="1"/>
  <c i="7" r="J95"/>
  <c i="7" r="J97"/>
  <c i="7" r="J99" s="1"/>
  <c i="7" r="L84"/>
  <c i="7" r="L85" s="1"/>
  <c i="7" r="K90"/>
  <c i="7" r="K89"/>
  <c i="7" l="1" r="L86"/>
  <c i="7" r="L87" s="1"/>
  <c i="7" r="M83" s="1"/>
  <c i="7" r="K91"/>
  <c i="7" r="X95"/>
  <c i="7" r="X97"/>
  <c i="7" l="1" r="M84"/>
  <c i="7" r="M85" s="1"/>
  <c i="7" r="K93"/>
  <c i="7" r="K94"/>
  <c i="7" r="K98" s="1"/>
  <c i="7" r="X99"/>
  <c i="7" r="L89"/>
  <c i="7" r="L90"/>
  <c i="7" l="1" r="K95"/>
  <c i="7" r="K97"/>
  <c i="7" r="L91"/>
  <c i="7" r="M86"/>
  <c i="7" r="M87" s="1"/>
  <c i="7" r="N83" s="1"/>
  <c i="7" l="1" r="K99"/>
  <c i="7" r="M89"/>
  <c i="7" r="M90"/>
  <c i="7" r="N84"/>
  <c i="7" r="N85" s="1"/>
  <c i="7" r="L93"/>
  <c i="7" r="L94"/>
  <c i="7" r="L98" s="1"/>
  <c i="7" l="1" r="N86"/>
  <c i="7" r="M91"/>
  <c i="7" r="L95"/>
  <c i="7" r="L97"/>
  <c i="7" l="1" r="N90"/>
  <c i="7" r="N89"/>
  <c i="7" r="M94"/>
  <c i="7" r="M98" s="1"/>
  <c i="7" r="M93"/>
  <c i="7" r="L99"/>
  <c i="7" r="N87"/>
  <c i="7" l="1" r="M95"/>
  <c i="7" r="M97"/>
  <c i="7" r="N91"/>
  <c i="7" l="1" r="N94"/>
  <c i="7" r="N98" s="1"/>
  <c i="7" r="D103" s="1"/>
  <c i="1" r="I33" s="1"/>
  <c i="12" r="K119" s="1"/>
  <c i="7" r="N93"/>
  <c i="7" r="M99"/>
  <c i="1" l="1" r="I34"/>
  <c i="12" r="K120" s="1"/>
  <c i="7" r="D104"/>
  <c i="7" r="N95"/>
  <c i="7" r="N97"/>
  <c i="7" r="C103" s="1"/>
  <c i="1" r="H33" s="1"/>
  <c i="12" r="J119" s="1"/>
  <c i="7" r="D105"/>
  <c i="1" r="I35" s="1"/>
  <c i="12" r="K121" s="1"/>
  <c i="7" r="D106"/>
  <c i="1" r="I36" s="1"/>
  <c i="12" r="K122" s="1"/>
  <c i="1" l="1" r="H34"/>
  <c i="12" r="J120" s="1"/>
  <c i="7" r="C104"/>
  <c i="7" r="N99"/>
  <c i="7" r="E103" s="1"/>
  <c i="7" r="C105"/>
  <c i="1" r="H35" s="1"/>
  <c i="12" r="J121" s="1"/>
  <c i="7" r="C106"/>
  <c i="1" r="H36" s="1"/>
  <c i="12" r="J122" s="1"/>
  <c i="7" l="1" r="E104"/>
  <c i="7" r="E105"/>
  <c i="7" r="E106"/>
  <c i="12" l="1" r="B170"/>
  <c i="12" r="B171"/>
  <c i="12" r="B172"/>
  <c i="12" r="B173"/>
  <c i="12" r="B174"/>
  <c i="12" r="B175"/>
  <c i="12" r="B176"/>
  <c i="5" r="H11"/>
</calcChain>
</file>

<file path=xl/sharedStrings.xml><?xml version="1.0" encoding="utf-8"?>
<sst xmlns="http://schemas.openxmlformats.org/spreadsheetml/2006/main" count="989" uniqueCount="508">
  <si>
    <t>{property.street_address}, {property.city}, {property.state}</t>
  </si>
  <si>
    <t>PROPERTY INFORMATION</t>
  </si>
  <si>
    <t>Property Name</t>
  </si>
  <si>
    <t>{property.name}</t>
  </si>
  <si>
    <t>Address</t>
  </si>
  <si>
    <t>{property.street_address}</t>
  </si>
  <si>
    <t>City, State, Zip</t>
  </si>
  <si>
    <t>{property.city}, {property.state} {property.zip_code}</t>
  </si>
  <si>
    <t>Property Type</t>
  </si>
  <si>
    <t>{property.property_type}</t>
  </si>
  <si>
    <t>Year Built</t>
  </si>
  <si>
    <t>{property.year_built}</t>
  </si>
  <si>
    <t>Year Renovated</t>
  </si>
  <si>
    <t>{property.year_renovated}</t>
  </si>
  <si>
    <t>Floors</t>
  </si>
  <si>
    <t>{property.number_floors}</t>
  </si>
  <si>
    <t>Number of Units</t>
  </si>
  <si>
    <t>{property.number_units}</t>
  </si>
  <si>
    <t>Net Rentable Sqft (NRSF)</t>
  </si>
  <si>
    <t>{unit_totals.sum_sqft}</t>
  </si>
  <si>
    <t>Enodo Rent Per Sqft</t>
  </si>
  <si>
    <t>{unit_totals.enodo_rent_sqft}</t>
  </si>
  <si>
    <t>COMMUNITY AMENITIES</t>
  </si>
  <si>
    <t>Name</t>
  </si>
  <si>
    <t>Has Amenity?</t>
  </si>
  <si>
    <t>Market Frequency</t>
  </si>
  <si>
    <t>Rent Premium</t>
  </si>
  <si>
    <t>{for amenity in amenities order_by freq} {amenity.display_name}</t>
  </si>
  <si>
    <t>{amenity.market_frequency}</t>
  </si>
  <si>
    <t>{amenity.standard_deviation}</t>
  </si>
  <si>
    <t>{amenity.premium}</t>
  </si>
  <si>
    <t>UNIT FEATURES</t>
  </si>
  <si>
    <t>{for amenity in unit_amenities order_by freq} {amenity.display_name}</t>
  </si>
  <si>
    <t>UNIT MIX</t>
  </si>
  <si>
    <t>Unit Status</t>
  </si>
  <si>
    <t>Market Rent</t>
  </si>
  <si>
    <t>In-Place Rent</t>
  </si>
  <si>
    <t>Enodo Rent</t>
  </si>
  <si>
    <t>Comps Rent</t>
  </si>
  <si>
    <t>Unit Type</t>
  </si>
  <si>
    <t>Size (sf)</t>
  </si>
  <si>
    <t>Occupied</t>
  </si>
  <si>
    <t>Vacant</t>
  </si>
  <si>
    <t>Total Units</t>
  </si>
  <si>
    <t>Occupancy Rate</t>
  </si>
  <si>
    <t>Rent</t>
  </si>
  <si>
    <t>PSF</t>
  </si>
  <si>
    <t>{for floor_plan in unit_mix  order_by bed} {floor_plan.name}</t>
  </si>
  <si>
    <t>{floor_plan.sqft}</t>
  </si>
  <si>
    <t>{floor_plan.number_vacant}</t>
  </si>
  <si>
    <t>{floor_plan.count}</t>
  </si>
  <si>
    <t>{floor_plan.market_rent}</t>
  </si>
  <si>
    <t>{floor_plan.in_place_rent}</t>
  </si>
  <si>
    <t>{floor_plan.enodo_rent}</t>
  </si>
  <si>
    <t>Total</t>
  </si>
  <si>
    <t>Average</t>
  </si>
  <si>
    <t>Bed/Bath</t>
  </si>
  <si>
    <t>Floor Plan</t>
  </si>
  <si>
    <t>Unit Feature Pkg</t>
  </si>
  <si>
    <t>{for floor_plan in unit_types  order_by bed} {floor_plan.display_name}</t>
  </si>
  <si>
    <t>{floor_plan.code}</t>
  </si>
  <si>
    <t>{floor_plan.feature_package}</t>
  </si>
  <si>
    <t>RENT ROLL</t>
  </si>
  <si>
    <t>Lease Charges</t>
  </si>
  <si>
    <t>Unit Number</t>
  </si>
  <si>
    <t>Status</t>
  </si>
  <si>
    <t>Lease Start</t>
  </si>
  <si>
    <t>Lease End</t>
  </si>
  <si>
    <t>{hfor charge in unit.charge_codes order_by nothing}{charge}</t>
  </si>
  <si>
    <t>{unit.floorplan}</t>
  </si>
  <si>
    <t>{unit.unit_number}</t>
  </si>
  <si>
    <t>{unit.sqft}</t>
  </si>
  <si>
    <t>{unit.occupancy}</t>
  </si>
  <si>
    <t>{unit.lease_start}</t>
  </si>
  <si>
    <t>{unit.lease_end}</t>
  </si>
  <si>
    <t>{unit.market_rent}</t>
  </si>
  <si>
    <t>{unit.in_place_rent}</t>
  </si>
  <si>
    <t>{hfor charge in unit.charges order_by nothing}{charge}</t>
  </si>
  <si>
    <t>Lease Analysis</t>
  </si>
  <si>
    <t>Unit Information</t>
  </si>
  <si>
    <t>All Units</t>
  </si>
  <si>
    <t>Currently Occupied Units</t>
  </si>
  <si>
    <t>Occupancy (# Units)</t>
  </si>
  <si>
    <t>Occupancy (%)</t>
  </si>
  <si>
    <t>Recent In-Place Rent (by Lease Start Date)</t>
  </si>
  <si>
    <t># Leases</t>
  </si>
  <si>
    <t># Units</t>
  </si>
  <si>
    <t>% of Total</t>
  </si>
  <si>
    <t>% of Market Rent</t>
  </si>
  <si>
    <t>Last 90 Days</t>
  </si>
  <si>
    <t>Last 60 Days</t>
  </si>
  <si>
    <t>Last 30 Days</t>
  </si>
  <si>
    <t>{for floor_plan in unit_types  order_by bed} {floor_plan.code}</t>
  </si>
  <si>
    <t>SELECTED COMPARABLES</t>
  </si>
  <si>
    <t>{hfor prop in comparables order_by similarity}</t>
  </si>
  <si>
    <t>Property Data</t>
  </si>
  <si>
    <t>Subject</t>
  </si>
  <si>
    <t>Comps Avg</t>
  </si>
  <si>
    <t>% Diff</t>
  </si>
  <si>
    <t>{hfor comp in comparables order_by similarity} {comp.name}</t>
  </si>
  <si>
    <t>{hfor comp in comparables order_by similarity} {comp.street_address}</t>
  </si>
  <si>
    <t>{hfor comp in comparables order_by similarity} {comp.city}, {comp.state} {comp.zip_code}</t>
  </si>
  <si>
    <t>{hfor comp in comparables order_by similarity} {comp.property_type}</t>
  </si>
  <si>
    <t>{hfor comp in comparables order_by similarity} {comp.year_built}</t>
  </si>
  <si>
    <t>{hfor comp in comparables order_by similarity} {comp.number_units}</t>
  </si>
  <si>
    <t>{hfor comp in comparables order_by similarity} {comp.number_floors}</t>
  </si>
  <si>
    <t>Distance From Subject</t>
  </si>
  <si>
    <t>{hfor comp in comparables order_by similarity} {comp.distance}</t>
  </si>
  <si>
    <t>Similarity</t>
  </si>
  <si>
    <t>{hfor comp in comparables order_by similarity}</t>
  </si>
  <si>
    <t>Similarity - Location</t>
  </si>
  <si>
    <t>{hfor comp in comparables order_by similarity} {comp.similarity_breakdown.location}</t>
  </si>
  <si>
    <t>Similarity - Year Built</t>
  </si>
  <si>
    <t>{hfor comp in comparables order_by similarity} {comp.similarity_breakdown.year_built}</t>
  </si>
  <si>
    <t>Similarity - # Units</t>
  </si>
  <si>
    <t>{hfor comp in comparables order_by similarity} {comp.similarity_breakdown.number_units}</t>
  </si>
  <si>
    <t>Similarity - Building Features</t>
  </si>
  <si>
    <t>{hfor comp in comparables order_by similarity} {comp.similarity_breakdown.community_amenities}</t>
  </si>
  <si>
    <t>Similarity - Unit Types</t>
  </si>
  <si>
    <t>{hfor comp in comparables order_by similarity} {comp.similarity_breakdown.unit_types}</t>
  </si>
  <si>
    <t>Similarity - Unit Finishes</t>
  </si>
  <si>
    <t>{hfor comp in comparables order_by similarity} {comp.similarity_breakdown.unit_features}</t>
  </si>
  <si>
    <t>Overall Similarity</t>
  </si>
  <si>
    <t>{hfor comp in comparables order_by similarity} {comp.similarity}</t>
  </si>
  <si>
    <t>Unit Mix*</t>
  </si>
  <si>
    <t>Studio</t>
  </si>
  <si>
    <t>{hfor comp in comparables order_by similarity} {comp.unit_mix[0].number_units}</t>
  </si>
  <si>
    <t>1BR</t>
  </si>
  <si>
    <t>{hfor comp in comparables order_by similarity} {comp.unit_mix[1].number_units}</t>
  </si>
  <si>
    <t>2BR</t>
  </si>
  <si>
    <t>{hfor comp in comparables order_by similarity} {comp.unit_mix[2].number_units}</t>
  </si>
  <si>
    <t>3BR</t>
  </si>
  <si>
    <t>{hfor comp in comparables order_by similarity} {comp.unit_mix[3].number_units}</t>
  </si>
  <si>
    <t>4BR</t>
  </si>
  <si>
    <t>{hfor comp in comparables order_by similarity} {comp.unit_mix[4].number_units}</t>
  </si>
  <si>
    <t>{hfor comp in comparables order_by similarity} {comp.unit_mix_totals.count}</t>
  </si>
  <si>
    <t>Median Unit Sqft</t>
  </si>
  <si>
    <t>{hfor comp in comparables order_by similarity} {comp.unit_mix[0].sqft}</t>
  </si>
  <si>
    <t>{hfor comp in comparables order_by similarity} {comp.unit_mix[1].sqft}</t>
  </si>
  <si>
    <t>{hfor comp in comparables order_by similarity} {comp.unit_mix[2].sqft}</t>
  </si>
  <si>
    <t>{hfor comp in comparables order_by similarity} {comp.unit_mix[3].sqft}</t>
  </si>
  <si>
    <t>{hfor comp in comparables order_by similarity} {comp.unit_mix[4].sqft}</t>
  </si>
  <si>
    <t>Median Rent</t>
  </si>
  <si>
    <t>{hfor comp in comparables order_by similarity} {comp.unit_mix[0].market_rent}</t>
  </si>
  <si>
    <t>{hfor comp in comparables order_by similarity} {comp.unit_mix[1].market_rent}</t>
  </si>
  <si>
    <t>{hfor comp in comparables order_by similarity} {comp.unit_mix[2].market_rent}</t>
  </si>
  <si>
    <t>{hfor comp in comparables order_by similarity} {comp.unit_mix[3].market_rent}</t>
  </si>
  <si>
    <t>{hfor comp in comparables order_by similarity} {comp.unit_mix[4].market_rent}</t>
  </si>
  <si>
    <t>Median Rent Per Sqft</t>
  </si>
  <si>
    <t>{hfor comp in comparables order_by similarity} {comp.unit_mix[0].market_rent_sqft}</t>
  </si>
  <si>
    <t>{hfor comp in comparables order_by similarity} {comp.unit_mix[1].market_rent_sqft}</t>
  </si>
  <si>
    <t>{hfor comp in comparables order_by similarity} {comp.unit_mix[2].market_rent_sqft}</t>
  </si>
  <si>
    <t>{hfor comp in comparables order_by similarity} {comp.unit_mix[3].market_rent_sqft}</t>
  </si>
  <si>
    <t>{hfor comp in comparables order_by similarity} {comp.unit_mix[4].market_rent_sqft}</t>
  </si>
  <si>
    <t>*Unit mix figures are predicted based on the frequency with which each unit type is listed publicly</t>
  </si>
  <si>
    <t>Comps w/Amenity</t>
  </si>
  <si>
    <t>Similar Properties</t>
  </si>
  <si>
    <t>SIMILAR PROPERTIES*</t>
  </si>
  <si>
    <t>Distance (miles)</t>
  </si>
  <si>
    <t>Selected as Comp</t>
  </si>
  <si>
    <t>Units</t>
  </si>
  <si>
    <t>Sqft</t>
  </si>
  <si>
    <t>Rent PSF</t>
  </si>
  <si>
    <t>{for prop in similar_properties order_by similarity} {prop.street_address}</t>
  </si>
  <si>
    <t>{prop.name}</t>
  </si>
  <si>
    <t>{prop.property_type}</t>
  </si>
  <si>
    <t>{prop.year_built}</t>
  </si>
  <si>
    <t>{prop.number_units}</t>
  </si>
  <si>
    <t>{prop.distance}</t>
  </si>
  <si>
    <t>{prop.similarity}</t>
  </si>
  <si>
    <t>{prop.selected}</t>
  </si>
  <si>
    <t>{prop.unit_mix[0].number_units}</t>
  </si>
  <si>
    <t>{prop.unit_mix[0].market_rent}</t>
  </si>
  <si>
    <t>{prop.unit_mix[0].sqft}</t>
  </si>
  <si>
    <t>{prop.unit_mix[0].market_rent_sqft}</t>
  </si>
  <si>
    <t>{prop.unit_mix[1].number_units}</t>
  </si>
  <si>
    <t>{prop.unit_mix[1].market_rent}</t>
  </si>
  <si>
    <t>{prop.unit_mix[1].sqft}</t>
  </si>
  <si>
    <t>{prop.unit_mix[1].market_rent_sqft}</t>
  </si>
  <si>
    <t>{prop.unit_mix[2].number_units}</t>
  </si>
  <si>
    <t>{prop.unit_mix[2].market_rent}</t>
  </si>
  <si>
    <t>{prop.unit_mix[2].sqft}</t>
  </si>
  <si>
    <t>{prop.unit_mix[2].market_rent_sqft}</t>
  </si>
  <si>
    <t>{prop.unit_mix[3].number_units}</t>
  </si>
  <si>
    <t>{prop.unit_mix[3].market_rent}</t>
  </si>
  <si>
    <t>{prop.unit_mix[3].sqft}</t>
  </si>
  <si>
    <t>*All rent and sqft values are medians</t>
  </si>
  <si>
    <t>Operating Statement</t>
  </si>
  <si>
    <t>Market Benchmarks</t>
  </si>
  <si>
    <t>Your Underwriting</t>
  </si>
  <si>
    <t>Operating Revenue</t>
  </si>
  <si>
    <t>Annual</t>
  </si>
  <si>
    <t>Per Unit</t>
  </si>
  <si>
    <t>Per NRSF</t>
  </si>
  <si>
    <t>GPR %</t>
  </si>
  <si>
    <t>{for line_item in financials.financials[0] order_by test} {line_item.name}</t>
  </si>
  <si>
    <t>{line_item.benchmark.annual}</t>
  </si>
  <si>
    <t>{line_item.benchmark.per_unit}</t>
  </si>
  <si>
    <t>{line_item.benchmark.gpr_percent}</t>
  </si>
  <si>
    <t>{line_item.custom.annual}</t>
  </si>
  <si>
    <t>{line_item.custom.per_unit}</t>
  </si>
  <si>
    <t>{line_item.custom.gpr_percent}</t>
  </si>
  <si>
    <t>{for line_item in financials.financials[1] order_by test} {line_item.name}</t>
  </si>
  <si>
    <t>Base Rental Revenue</t>
  </si>
  <si>
    <t>{financials.totals.benchmark.base_rental_revenue.annual}</t>
  </si>
  <si>
    <t>{financials.totals.benchmark.base_rental_revenue.per_unit}</t>
  </si>
  <si>
    <t>{financials.totals.benchmark.base_rental_revenue.gpr_percent}</t>
  </si>
  <si>
    <t>{financials.totals.custom.base_rental_revenue.annual}</t>
  </si>
  <si>
    <t>{financials.totals.custom.base_rental_revenue.per_unit}</t>
  </si>
  <si>
    <t>{financials.totals.custom.base_rental_revenue.gpr_percent}</t>
  </si>
  <si>
    <t>{for line_item in financials.financials[2] order_by test} {line_item.name}</t>
  </si>
  <si>
    <t>{for line_item in financials.financials[3] order_by test} {line_item.name}</t>
  </si>
  <si>
    <t>Total Other Income</t>
  </si>
  <si>
    <t>{financials.totals.benchmark.other_income.annual}</t>
  </si>
  <si>
    <t>{financials.totals.benchmark.other_income.per_unit}</t>
  </si>
  <si>
    <t>{financials.totals.benchmark.other_income.gpr_percent}</t>
  </si>
  <si>
    <t>{financials.totals.custom.other_income.annual}</t>
  </si>
  <si>
    <t>{financials.totals.custom.other_income.per_unit}</t>
  </si>
  <si>
    <t>{financials.totals.custom.other_income.gpr_percent}</t>
  </si>
  <si>
    <t>Effective Gross Revenue (EGR)</t>
  </si>
  <si>
    <t>{financials.totals.benchmark.egr.annual}</t>
  </si>
  <si>
    <t xml:space="preserve">{financials.totals.benchmark.egr.per_unit} </t>
  </si>
  <si>
    <t>{financials.totals.benchmark.egr.gpr_percent}</t>
  </si>
  <si>
    <t>{financials.totals.custom.egr.annual}</t>
  </si>
  <si>
    <t>{financials.totals.custom.egr.per_unit}</t>
  </si>
  <si>
    <t>{financials.totals.custom.egr.gpr_percent}</t>
  </si>
  <si>
    <t>Operating Expenses</t>
  </si>
  <si>
    <t>EGR %</t>
  </si>
  <si>
    <t>{for line_item in financials.financials[4] order_by test} {line_item.name}</t>
  </si>
  <si>
    <t>{line_item.benchmark.egr_percent}</t>
  </si>
  <si>
    <t>{line_item.custom.egr_percent}</t>
  </si>
  <si>
    <t>{for line_item in financials.financials[5] order_by test} {line_item.name}</t>
  </si>
  <si>
    <t>Total Operating Expenses</t>
  </si>
  <si>
    <t>{financials.totals.benchmark.total_operating_expenses.annual}</t>
  </si>
  <si>
    <t xml:space="preserve">{financials.totals.benchmark.total_operating_expenses.per_unit} </t>
  </si>
  <si>
    <t>{financials.totals.benchmark.total_operating_expenses.egr_percent}</t>
  </si>
  <si>
    <t>{financials.totals.custom.total_operating_expenses.annual}</t>
  </si>
  <si>
    <t>{financials.totals.custom.total_operating_expenses.per_unit}</t>
  </si>
  <si>
    <t>{financials.totals.custom.total_operating_expenses.egr_percent}</t>
  </si>
  <si>
    <t>Net Operating Income (NOI)</t>
  </si>
  <si>
    <t>{financials.totals.benchmark.noi.annual}</t>
  </si>
  <si>
    <t xml:space="preserve">{financials.totals.benchmark.noi.per_unit} </t>
  </si>
  <si>
    <t>{financials.totals.benchmark.noi.egr_percent}</t>
  </si>
  <si>
    <t>{financials.totals.custom.noi.annual}</t>
  </si>
  <si>
    <t>{financials.totals.custom.noi.per_unit}</t>
  </si>
  <si>
    <t>{financials.totals.custom.noi.egr_percent}</t>
  </si>
  <si>
    <t>Cap Rate</t>
  </si>
  <si>
    <t>Market Value</t>
  </si>
  <si>
    <t>GRM</t>
  </si>
  <si>
    <t>Pro Forma</t>
  </si>
  <si>
    <t>Investment Assumptions</t>
  </si>
  <si>
    <t>Financing Assumptions</t>
  </si>
  <si>
    <t>Model</t>
  </si>
  <si>
    <t>User</t>
  </si>
  <si>
    <t>LTV</t>
  </si>
  <si>
    <t>Hold Period</t>
  </si>
  <si>
    <t>DSCR</t>
  </si>
  <si>
    <t>Income Growth</t>
  </si>
  <si>
    <t>Interest Rate</t>
  </si>
  <si>
    <t>Expense Growth</t>
  </si>
  <si>
    <t>Amortization Period</t>
  </si>
  <si>
    <t>Going-in Cap Rate</t>
  </si>
  <si>
    <t>Loan Term</t>
  </si>
  <si>
    <t>Exit Cap Rate</t>
  </si>
  <si>
    <t>Loan Amt</t>
  </si>
  <si>
    <t>Monthly Pmt</t>
  </si>
  <si>
    <t>Investment Hurdle Rate</t>
  </si>
  <si>
    <t>Annual Debt Service</t>
  </si>
  <si>
    <t>Return Metrics</t>
  </si>
  <si>
    <t>Balloon Pmt</t>
  </si>
  <si>
    <t>Total Equity Required</t>
  </si>
  <si>
    <t>GP Equity</t>
  </si>
  <si>
    <t>NPV</t>
  </si>
  <si>
    <t>LP Equity</t>
  </si>
  <si>
    <t>IRR</t>
  </si>
  <si>
    <t>Preferred Return</t>
  </si>
  <si>
    <t>Year 1 Cash-on-Cash</t>
  </si>
  <si>
    <t>GP Split After Hurdle</t>
  </si>
  <si>
    <t>Purchase Price</t>
  </si>
  <si>
    <t>LP Split After Hurdle</t>
  </si>
  <si>
    <t>Income and Expenses</t>
  </si>
  <si>
    <t>Unleveraged Cash Flow</t>
  </si>
  <si>
    <t>Net Operating Income</t>
  </si>
  <si>
    <t>Sale Price</t>
  </si>
  <si>
    <t>Net Cash Flow</t>
  </si>
  <si>
    <t>Unleveraged Returns</t>
  </si>
  <si>
    <t>Invested Capital</t>
  </si>
  <si>
    <t>Net Return</t>
  </si>
  <si>
    <t>Equity Multiple</t>
  </si>
  <si>
    <t>Year 1 Cash on Cash</t>
  </si>
  <si>
    <t>Leveraged Cash Flow</t>
  </si>
  <si>
    <t>Financing</t>
  </si>
  <si>
    <t>Loan Repayment</t>
  </si>
  <si>
    <t>Total Financing</t>
  </si>
  <si>
    <t>Leveraged Returns</t>
  </si>
  <si>
    <t>Partnership Cash Flows</t>
  </si>
  <si>
    <t>Equity Waterfall</t>
  </si>
  <si>
    <t>Beginning Balance</t>
  </si>
  <si>
    <t>Total Amt Due</t>
  </si>
  <si>
    <t>Payment Made</t>
  </si>
  <si>
    <t>Ending Balance</t>
  </si>
  <si>
    <t>Pref Return and Return of Capital</t>
  </si>
  <si>
    <t>GP</t>
  </si>
  <si>
    <t>LP</t>
  </si>
  <si>
    <t>Project</t>
  </si>
  <si>
    <t>Excess Cash Flow</t>
  </si>
  <si>
    <t>Project Net Cash Flow</t>
  </si>
  <si>
    <t>Partnership Returns</t>
  </si>
  <si>
    <t>Trailing 12 Analysis</t>
  </si>
  <si>
    <t>Summary T-12</t>
  </si>
  <si>
    <t>Monthly Average</t>
  </si>
  <si>
    <t>T3</t>
  </si>
  <si>
    <t>T6</t>
  </si>
  <si>
    <t>T9</t>
  </si>
  <si>
    <t>T12</t>
  </si>
  <si>
    <t>Annual Total</t>
  </si>
  <si>
    <t>{for line_item in opex order by nothing}{line_item.name}</t>
  </si>
  <si>
    <t>{line_item.category}</t>
  </si>
  <si>
    <t>{line_item.breakdown[0]}</t>
  </si>
  <si>
    <t>{line_item.breakdown[1]}</t>
  </si>
  <si>
    <t>{line_item.breakdown[2]}</t>
  </si>
  <si>
    <t>{line_item.breakdown[3]}</t>
  </si>
  <si>
    <t>{line_item.breakdown[4]}</t>
  </si>
  <si>
    <t>{line_item.breakdown[5]}</t>
  </si>
  <si>
    <t>{line_item.breakdown[6]}</t>
  </si>
  <si>
    <t>{line_item.breakdown[7]}</t>
  </si>
  <si>
    <t>{line_item.breakdown[8]}</t>
  </si>
  <si>
    <t>{line_item.breakdown[9]}</t>
  </si>
  <si>
    <t>{line_item.breakdown[10]}</t>
  </si>
  <si>
    <t>{line_item.breakdown[11]}</t>
  </si>
  <si>
    <t>1 BR</t>
  </si>
  <si>
    <t>2 BR</t>
  </si>
  <si>
    <t>3 BR</t>
  </si>
  <si>
    <t>4 BR</t>
  </si>
  <si>
    <t>Subject Property</t>
  </si>
  <si>
    <t>Market Area</t>
  </si>
  <si>
    <t>Selected Comps</t>
  </si>
  <si>
    <t>Totals</t>
  </si>
  <si>
    <t>{prop.unit_mix[3].market_rent_sqft}</t>
  </si>
  <si>
    <t>{prop.unit_mix[4].number_units}</t>
  </si>
  <si>
    <t>{prop.unit_mix[4].market_rent}</t>
  </si>
  <si>
    <t>{prop.unit_mix[4].sqft}</t>
  </si>
  <si>
    <t>{prop.unit_mix[4].market_rent_sqft}</t>
  </si>
  <si>
    <t>STUDIO</t>
  </si>
  <si>
    <t>Closing Costs</t>
  </si>
  <si>
    <t>Future Sale Costs</t>
  </si>
  <si>
    <t>Opex Ratio</t>
  </si>
  <si>
    <t>Market Analysis</t>
  </si>
  <si>
    <t>Overview</t>
  </si>
  <si>
    <t>Margin of Error</t>
  </si>
  <si>
    <t>Uses of Funds</t>
  </si>
  <si>
    <t>Estimated Property Value</t>
  </si>
  <si>
    <t>Estimated Closing Costs</t>
  </si>
  <si>
    <t>Sources of Funds</t>
  </si>
  <si>
    <t>Loan Amount</t>
  </si>
  <si>
    <t>GP Equity Investment</t>
  </si>
  <si>
    <t>LP Equity Investment</t>
  </si>
  <si>
    <t>Returns Summary</t>
  </si>
  <si>
    <t>Unleveraged</t>
  </si>
  <si>
    <t>Leveraged</t>
  </si>
  <si>
    <t>Property Overview</t>
  </si>
  <si>
    <t>FLOOR PLANS</t>
  </si>
  <si>
    <t>Unit Mix</t>
  </si>
  <si>
    <t>Total Return</t>
  </si>
  <si>
    <t>Net SF</t>
  </si>
  <si>
    <t>Leasing Activity</t>
  </si>
  <si>
    <t>Exp. Month</t>
  </si>
  <si>
    <t>Leasing Expirations</t>
  </si>
  <si>
    <t>{market.unit_stats.by_beds[0].market_rent.median}</t>
  </si>
  <si>
    <t>{market.unit_stats.by_beds[1].market_rent.median}</t>
  </si>
  <si>
    <t>{market.unit_stats.by_beds[2].market_rent.median}</t>
  </si>
  <si>
    <t>{market.unit_stats.by_beds[3].market_rent.median}</t>
  </si>
  <si>
    <t>{market.unit_stats.by_beds[4].market_rent.median}</t>
  </si>
  <si>
    <t>Averages</t>
  </si>
  <si>
    <t>Enodo Prediction</t>
  </si>
  <si>
    <t>Amenity Analysis</t>
  </si>
  <si>
    <t>{hfor comp in comparables order_by similarity}  =AVERAGE(INDIRECT(ADDRESS(ROW()-5,COLUMN())&amp;":"&amp;ADDRESS(ROW()-1,COLUMN())))</t>
  </si>
  <si>
    <t>{hfor comp in comparables order_by similarity} =AVERAGE(INDIRECT(ADDRESS(ROW()-5,COLUMN())&amp;":"&amp;ADDRESS(ROW()-1,COLUMN())))</t>
  </si>
  <si>
    <t>Comps Analysis</t>
  </si>
  <si>
    <t>{hfor price in unit.pricing} {price}</t>
  </si>
  <si>
    <t>{unit.source}</t>
  </si>
  <si>
    <t>{unit.last_90_days}</t>
  </si>
  <si>
    <t>{unit.last_60_days}</t>
  </si>
  <si>
    <t>{unit.last_30_days}</t>
  </si>
  <si>
    <t>{unit.bath}</t>
  </si>
  <si>
    <t>{unit.bed}</t>
  </si>
  <si>
    <t>{unit.unit_name}</t>
  </si>
  <si>
    <t>{for unit in unit_history.units} {unit.formatted_address}</t>
  </si>
  <si>
    <t>{hfor date in unit_history.dates} {date}</t>
  </si>
  <si>
    <t>Data Source</t>
  </si>
  <si>
    <t>Bath</t>
  </si>
  <si>
    <t>Bed</t>
  </si>
  <si>
    <t>Unit</t>
  </si>
  <si>
    <t>Full Address</t>
  </si>
  <si>
    <t>{hfor price in unit_type.pricing} {price}</t>
  </si>
  <si>
    <t>{unit_type.last_90_days}</t>
  </si>
  <si>
    <t>{unit_type.last_60_days}</t>
  </si>
  <si>
    <t>{unit_type.last_30_days}</t>
  </si>
  <si>
    <t>{unit_type.sqft}</t>
  </si>
  <si>
    <t>{unit_type.bath}</t>
  </si>
  <si>
    <t>{unit_type.bed}</t>
  </si>
  <si>
    <t>{for unit_type in unit_history.units} {unit_type.formatted_address}</t>
  </si>
  <si>
    <t>{hfor price in bed.pricing} {price}</t>
  </si>
  <si>
    <t>{bed.last_90_days}</t>
  </si>
  <si>
    <t>{bed.last_60_days}</t>
  </si>
  <si>
    <t>{bed.last_30_days}</t>
  </si>
  <si>
    <t>{bed.bed}</t>
  </si>
  <si>
    <t>{for bed in unit_history.beds} {bed.formatted_address}</t>
  </si>
  <si>
    <t>Historical Rent Data</t>
  </si>
  <si>
    <t>Avg Rent</t>
  </si>
  <si>
    <t>Total Exposure</t>
  </si>
  <si>
    <t>Amenity Frequencies and Premiums</t>
  </si>
  <si>
    <t>Amenity Comparison with Selected Comps</t>
  </si>
  <si>
    <t>Current Revenue [1]</t>
  </si>
  <si>
    <t>Potential Revenue [2]</t>
  </si>
  <si>
    <t>Upside Potential</t>
  </si>
  <si>
    <t>[1] Current revenue uses in-place rent if a rent roll has been uploaded, and market rent if public data is used</t>
  </si>
  <si>
    <t>[2] Potential revenue is derived from the Enodo Rent for each unit type</t>
  </si>
  <si>
    <t>Unit Mix Overview</t>
  </si>
  <si>
    <t>PV of Unleveraged Cash Flow</t>
  </si>
  <si>
    <t>PV of Leveraged Cash Flow</t>
  </si>
  <si>
    <t>30 Day Avg</t>
  </si>
  <si>
    <t>60 Day Avg</t>
  </si>
  <si>
    <t>90 Day Avg</t>
  </si>
  <si>
    <t>Trailing Average Rents</t>
  </si>
  <si>
    <t>Historical Rents by Bed</t>
  </si>
  <si>
    <t>Historical Rents by Unit Type</t>
  </si>
  <si>
    <t>Historical Rents by Unit</t>
  </si>
  <si>
    <t>[3] Based on user assumptions entered in Pro Forma tab</t>
  </si>
  <si>
    <t>Investment Overview [3]</t>
  </si>
  <si>
    <t>Enodo Property Analysis</t>
  </si>
  <si>
    <t>{google streetview}</t>
  </si>
  <si>
    <t>{property.name} | {property.number_units} Units</t>
  </si>
  <si>
    <t>Date:</t>
  </si>
  <si>
    <t>Table of Contents</t>
  </si>
  <si>
    <t>Executive Summary</t>
  </si>
  <si>
    <t>Market Overview</t>
  </si>
  <si>
    <t>Market Area Statistics</t>
  </si>
  <si>
    <t>Market Rent Distributions</t>
  </si>
  <si>
    <t>Comparable Property Analysis</t>
  </si>
  <si>
    <t>Rent &amp; Amenity Pricing Analysis</t>
  </si>
  <si>
    <t>Enodo Rents by Unit Type</t>
  </si>
  <si>
    <t>Amenity Pricing Matrix</t>
  </si>
  <si>
    <t>Operating Expense Analysis</t>
  </si>
  <si>
    <t>Contact Information</t>
  </si>
  <si>
    <t>Key Observations/Takeaways</t>
  </si>
  <si>
    <t>{market map}</t>
  </si>
  <si>
    <t>% </t>
  </si>
  <si>
    <t>Market Statistics</t>
  </si>
  <si>
    <t>Market Data</t>
  </si>
  <si>
    <t>Cook County</t>
  </si>
  <si>
    <t>IL</t>
  </si>
  <si>
    <t>Census Tracts</t>
  </si>
  <si>
    <t>Properties Included</t>
  </si>
  <si>
    <t>Listings Surveyed</t>
  </si>
  <si>
    <t>Total Population</t>
  </si>
  <si>
    <t>Demographic Stats</t>
  </si>
  <si>
    <t>Population Density</t>
  </si>
  <si>
    <t>Median Household Income</t>
  </si>
  <si>
    <t>Average Household Size</t>
  </si>
  <si>
    <t>Percent Owners to Renters</t>
  </si>
  <si>
    <t>Percent Residents to Workers</t>
  </si>
  <si>
    <t>Market Overview (contd.)</t>
  </si>
  <si>
    <t>Comp 1</t>
  </si>
  <si>
    <t>Comp 2</t>
  </si>
  <si>
    <t>Comp 3</t>
  </si>
  <si>
    <t>Comp 4</t>
  </si>
  <si>
    <t>Comp 5</t>
  </si>
  <si>
    <t>Studios</t>
  </si>
  <si>
    <t>Rent Analysis</t>
  </si>
  <si>
    <t>Summary Information</t>
  </si>
  <si>
    <t>Confidence Interval</t>
  </si>
  <si>
    <t>Market Rent Comparison</t>
  </si>
  <si>
    <t>Average Market Rents by Unit Type</t>
  </si>
  <si>
    <t>Market Rent Comparison [1]</t>
  </si>
  <si>
    <t xml:space="preserve">[1] A comparison of market rents by bedroom count between the property and (1) Enodo's rent predictions for the property, (2) average marketed rents among user selected comps, (3) average marketed rents among all similar properties identified by Enodo's comparable property detection algorithm, and (4) all properties within Enodo's algorithmically defined market area. </t>
  </si>
  <si>
    <t>Upside Potential by Unit [2]</t>
  </si>
  <si>
    <t>[2] Based on which benckmark the user chooses to compare with, whether Enodo's predictions, the selected comps, all similar properties in the market, or all properties in the algorithmically defined market area, we have calculated the potential upside/downside in this table.</t>
  </si>
  <si>
    <t>{market.demographics.market.number_census_tracts}</t>
  </si>
  <si>
    <t>{market.demographics.market.number_properties}</t>
  </si>
  <si>
    <t>{market.demographics.market.number_listings}</t>
  </si>
  <si>
    <t>{market.demographics.market.total_population}</t>
  </si>
  <si>
    <t>{market.demographics.market.population_density}</t>
  </si>
  <si>
    <t>{market.demographics.market.median_household_income}</t>
  </si>
  <si>
    <t>{market.demographics.market.average_household_size}</t>
  </si>
  <si>
    <t>{market.demographics.market.percent_owners_to_renters}</t>
  </si>
  <si>
    <t>{market.demographics.market.percent_residents_to_workers}</t>
  </si>
  <si>
    <t>{market.demographics.state.number_census_tracts}</t>
  </si>
  <si>
    <t>{market.demographics.state.number_properties}</t>
  </si>
  <si>
    <t>{market.demographics.state.number_listings}</t>
  </si>
  <si>
    <t>{market.demographics.state.total_population}</t>
  </si>
  <si>
    <t>{market.demographics.state.population_density}</t>
  </si>
  <si>
    <t>{market.demographics.state.median_household_income}</t>
  </si>
  <si>
    <t>{market.demographics.state.average_household_size}</t>
  </si>
  <si>
    <t>{market.demographics.state.percent_owners_to_renters}</t>
  </si>
  <si>
    <t>{market.demographics.state.percent_residents_to_workers}</t>
  </si>
  <si>
    <t>{market.demographics.county.number_census_tracts}</t>
  </si>
  <si>
    <t>{market.demographics.county.number_properties}</t>
  </si>
  <si>
    <t>{market.demographics.county.number_listings}</t>
  </si>
  <si>
    <t>{market.demographics.county.total_population}</t>
  </si>
  <si>
    <t>{market.demographics.county.population_density}</t>
  </si>
  <si>
    <t>{market.demographics.county.median_household_income}</t>
  </si>
  <si>
    <t>{market.demographics.county.average_household_size}</t>
  </si>
  <si>
    <t>{market.demographics.county.percent_owners_to_renters}</t>
  </si>
  <si>
    <t>{market.demographics.county.percent_residents_to_workers}</t>
  </si>
  <si>
    <t>County</t>
  </si>
  <si>
    <t>{property.state}</t>
  </si>
  <si>
    <t>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</si>
</sst>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164" formatCode="0.0%"/>
    <numFmt numFmtId="165" formatCode="&quot;$&quot;#,##0.00"/>
    <numFmt numFmtId="167" formatCode="\$#,##0.00"/>
    <numFmt numFmtId="168" formatCode="&quot;$&quot;#,##0"/>
    <numFmt numFmtId="169" formatCode="[$-409]mmm\-yy;@"/>
    <numFmt numFmtId="170" formatCode="#,##0.00&quot; miles&quot;;&quot;--&quot;;&quot;--&quot;;&quot; --&quot;"/>
    <numFmt numFmtId="171" formatCode="\$#,##0"/>
    <numFmt numFmtId="172" formatCode="#,##0.00\ &quot;miles&quot;;&quot;--&quot;;&quot;--&quot;;\ &quot;--&quot;"/>
    <numFmt numFmtId="173" formatCode="\$#,##0;\ \(\$#,##0\);\ &quot;--&quot;;\ &quot;Invalid amount&quot;"/>
    <numFmt numFmtId="174" formatCode="#,##0\ &quot;units&quot;;\(#,##0\ &quot;units&quot;\);&quot;--&quot;;\ &quot;--&quot;"/>
    <numFmt numFmtId="175" formatCode="#,##0\ &quot;sf&quot;;\(#,##0\ &quot;sf&quot;\);&quot;--&quot;;\ &quot;--&quot;"/>
  </numFmts>
  <fonts count="60" x14ac:knownFonts="1">
    <font>
      <sz val="11"/>
      <color theme="1"/>
      <name val="Calibri"/>
      <family val="2"/>
      <scheme val="minor"/>
    </font>
    <font>
      <sz val="11"/>
      <color theme="1"/>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charset val="1"/>
    </font>
    <font>
      <b/>
      <sz val="14"/>
      <color rgb="FF384B61"/>
      <name val="Calibri"/>
      <family val="2"/>
      <charset val="1"/>
    </font>
    <font>
      <sz val="14"/>
      <color rgb="FF1F497D"/>
      <name val="Calibri"/>
      <family val="2"/>
      <charset val="1"/>
    </font>
    <font>
      <b/>
      <sz val="11"/>
      <color rgb="FFFFFFFF"/>
      <name val="Calibri"/>
      <family val="2"/>
      <charset val="1"/>
    </font>
    <font>
      <b/>
      <sz val="11"/>
      <color rgb="FF000000"/>
      <name val="Calibri"/>
      <family val="2"/>
      <charset val="1"/>
    </font>
    <font>
      <b/>
      <i/>
      <sz val="11"/>
      <color theme="1"/>
      <name val="Calibri"/>
      <family val="2"/>
      <scheme val="minor"/>
    </font>
    <font>
      <i/>
      <sz val="11"/>
      <color rgb="FF000000"/>
      <name val="Calibri"/>
      <family val="2"/>
      <charset val="1"/>
    </font>
    <font>
      <sz val="11"/>
      <color rgb="FF000000"/>
      <name val="Calibri"/>
      <family val="2"/>
    </font>
    <font>
      <sz val="12"/>
      <color theme="1"/>
      <name val="Calibri"/>
      <family val="2"/>
      <scheme val="minor"/>
    </font>
    <font>
      <b/>
      <sz val="11"/>
      <color rgb="FFFFFFFF"/>
      <name val="Calibri"/>
      <family val="2"/>
      <scheme val="minor"/>
    </font>
    <font>
      <sz val="11"/>
      <color rgb="FF1F497D"/>
      <name val="Calibri"/>
      <family val="2"/>
      <charset val="1"/>
    </font>
    <font>
      <sz val="11"/>
      <name val="Calibri"/>
      <family val="2"/>
      <scheme val="minor"/>
    </font>
    <font>
      <b/>
      <sz val="11"/>
      <color rgb="FF000000"/>
      <name val="Calibri"/>
      <family val="2"/>
    </font>
    <font>
      <sz val="11"/>
      <color rgb="FF384B61"/>
      <name val="Calibri"/>
      <family val="2"/>
      <charset val="1"/>
    </font>
    <font>
      <sz val="11"/>
      <color rgb="FFFFFFFF"/>
      <name val="Calibri"/>
      <family val="2"/>
      <charset val="1"/>
    </font>
    <font>
      <b/>
      <sz val="11"/>
      <color rgb="FF0070C0"/>
      <name val="Calibri"/>
      <family val="2"/>
      <scheme val="minor"/>
    </font>
    <font>
      <b/>
      <sz val="11"/>
      <name val="Calibri"/>
      <family val="2"/>
      <scheme val="minor"/>
    </font>
    <font>
      <b/>
      <sz val="11"/>
      <color rgb="FF384B61"/>
      <name val="Calibri"/>
      <family val="2"/>
      <scheme val="minor"/>
    </font>
    <font>
      <sz val="10"/>
      <name val="Arial"/>
      <family val="2"/>
    </font>
    <font>
      <sz val="14"/>
      <color rgb="FF384B61"/>
      <name val="Calibri"/>
      <family val="2"/>
      <charset val="1"/>
    </font>
    <font>
      <b/>
      <sz val="11"/>
      <color rgb="FF1F497C"/>
      <name val="Calibri"/>
      <family val="2"/>
      <charset val="1"/>
    </font>
    <font>
      <b/>
      <sz val="16"/>
      <color rgb="FF384B61"/>
      <name val="Calibri"/>
      <family val="2"/>
      <charset val="1"/>
    </font>
    <font>
      <b/>
      <i/>
      <sz val="11"/>
      <color rgb="FF000000"/>
      <name val="Calibri"/>
      <family val="2"/>
    </font>
    <font>
      <i/>
      <sz val="11"/>
      <color theme="1"/>
      <name val="Calibri"/>
      <family val="2"/>
      <scheme val="minor"/>
    </font>
    <font>
      <b/>
      <sz val="11"/>
      <color rgb="FFFFFFFF"/>
      <name val="Calibri"/>
      <family val="2"/>
    </font>
    <font>
      <b/>
      <sz val="12"/>
      <color theme="1"/>
      <name val="Calibri"/>
      <family val="2"/>
      <scheme val="minor"/>
    </font>
    <font>
      <b/>
      <sz val="12"/>
      <name val="Calibri"/>
      <family val="2"/>
      <scheme val="minor"/>
    </font>
    <font>
      <b/>
      <sz val="14"/>
      <color rgb="FF4B6481"/>
      <name val="Calibri"/>
      <family val="2"/>
      <scheme val="minor"/>
    </font>
    <font>
      <sz val="8"/>
      <color theme="1"/>
      <name val="Calibri"/>
      <family val="2"/>
      <scheme val="minor"/>
    </font>
    <font>
      <b/>
      <sz val="14"/>
      <color rgb="FFFF0000"/>
      <name val="Calibri"/>
      <family val="2"/>
      <charset val="1"/>
    </font>
    <font>
      <b/>
      <sz val="14"/>
      <color rgb="FFFF0000"/>
      <name val="Calibri"/>
      <family val="2"/>
      <scheme val="minor"/>
    </font>
    <font>
      <b/>
      <sz val="16"/>
      <color rgb="FF1F497D"/>
      <name val="Calibri"/>
      <family val="2"/>
      <scheme val="minor"/>
    </font>
    <font>
      <b/>
      <sz val="11"/>
      <color rgb="FF1F497D"/>
      <name val="Calibri"/>
      <family val="2"/>
      <scheme val="minor"/>
    </font>
    <font>
      <sz val="11"/>
      <color rgb="FF1F497D"/>
      <name val="Calibri"/>
      <family val="2"/>
      <scheme val="minor"/>
    </font>
    <font>
      <sz val="11"/>
      <color rgb="FF384B61"/>
      <name val="Calibri"/>
      <family val="2"/>
      <scheme val="minor"/>
    </font>
    <font>
      <sz val="14"/>
      <color rgb="FF4B6481"/>
      <name val="Calibri"/>
      <family val="2"/>
      <scheme val="minor"/>
    </font>
    <font>
      <sz val="11"/>
      <color rgb="FF4B6481"/>
      <name val="Calibri"/>
      <family val="2"/>
      <scheme val="minor"/>
    </font>
    <font>
      <b/>
      <sz val="10"/>
      <color theme="0"/>
      <name val="Calibri"/>
      <family val="2"/>
      <scheme val="minor"/>
    </font>
    <font>
      <sz val="10"/>
      <color theme="1"/>
      <name val="Calibri"/>
      <family val="2"/>
      <scheme val="minor"/>
    </font>
    <font>
      <sz val="10"/>
      <color rgb="FF00B050"/>
      <name val="Calibri"/>
      <family val="2"/>
      <scheme val="minor"/>
    </font>
    <font>
      <sz val="10"/>
      <color rgb="FFFF0000"/>
      <name val="Calibri"/>
      <family val="2"/>
      <scheme val="minor"/>
    </font>
    <font>
      <b/>
      <sz val="8"/>
      <color theme="0"/>
      <name val="Calibri"/>
      <family val="2"/>
      <scheme val="minor"/>
    </font>
    <font>
      <b/>
      <sz val="8"/>
      <color theme="1"/>
      <name val="Calibri"/>
      <family val="2"/>
      <scheme val="minor"/>
    </font>
    <font>
      <b/>
      <sz val="8"/>
      <color rgb="FFFFFFFF"/>
      <name val="Calibri"/>
      <family val="2"/>
      <scheme val="minor"/>
    </font>
    <font>
      <i/>
      <sz val="8"/>
      <color theme="1"/>
      <name val="Calibri"/>
      <family val="2"/>
      <scheme val="minor"/>
    </font>
    <font>
      <b/>
      <sz val="9"/>
      <color theme="0"/>
      <name val="Calibri"/>
      <family val="2"/>
      <scheme val="minor"/>
    </font>
    <font>
      <b/>
      <sz val="9"/>
      <color rgb="FFFFFFFF"/>
      <name val="Calibri"/>
      <family val="2"/>
    </font>
    <font>
      <sz val="9"/>
      <color theme="1"/>
      <name val="Calibri"/>
      <family val="2"/>
      <scheme val="minor"/>
    </font>
    <font>
      <b/>
      <sz val="9"/>
      <color theme="1"/>
      <name val="Calibri"/>
      <family val="2"/>
      <scheme val="minor"/>
    </font>
    <font>
      <b/>
      <i/>
      <sz val="9"/>
      <color theme="1"/>
      <name val="Calibri"/>
      <family val="2"/>
      <scheme val="minor"/>
    </font>
    <font>
      <sz val="11"/>
      <name val="Calibri"/>
      <family val="2"/>
    </font>
    <font>
      <b/>
      <sz val="14"/>
      <color rgb="FF384B61"/>
      <name val="Calibri"/>
      <family val="2"/>
    </font>
    <font>
      <sz val="14"/>
      <color rgb="FF1F497D"/>
      <name val="Calibri"/>
      <family val="2"/>
    </font>
    <font>
      <sz val="9"/>
      <color rgb="FF4B6481"/>
      <name val="Calibri"/>
      <family val="2"/>
      <scheme val="minor"/>
    </font>
  </fonts>
  <fills count="51">
    <fill>
      <patternFill patternType="none"/>
    </fill>
    <fill>
      <patternFill patternType="gray125"/>
    </fill>
    <fill>
      <patternFill patternType="solid">
        <fgColor theme="0"/>
        <bgColor indexed="64"/>
      </patternFill>
    </fill>
    <fill>
      <patternFill patternType="solid">
        <fgColor rgb="FFFFFFFF"/>
        <bgColor rgb="FFF3F5FB"/>
      </patternFill>
    </fill>
    <fill>
      <patternFill patternType="solid">
        <fgColor rgb="FF384B61"/>
        <bgColor rgb="FF1F497C"/>
      </patternFill>
    </fill>
    <fill>
      <patternFill patternType="solid">
        <fgColor theme="0"/>
        <bgColor rgb="FFF3F5FB"/>
      </patternFill>
    </fill>
    <fill>
      <patternFill patternType="solid">
        <fgColor theme="0"/>
        <bgColor rgb="FFF3F4F9"/>
      </patternFill>
    </fill>
    <fill>
      <patternFill patternType="solid">
        <fgColor theme="0" tint="-4.9989318521683403E-2"/>
        <bgColor rgb="FFF3F5FB"/>
      </patternFill>
    </fill>
    <fill>
      <patternFill patternType="solid">
        <fgColor rgb="FF1F497D"/>
        <bgColor rgb="FF384B61"/>
      </patternFill>
    </fill>
    <fill>
      <patternFill patternType="solid">
        <fgColor rgb="FF848789"/>
        <bgColor rgb="FF969696"/>
      </patternFill>
    </fill>
    <fill>
      <patternFill patternType="solid">
        <fgColor rgb="FF4B6481"/>
        <bgColor rgb="FF384B61"/>
      </patternFill>
    </fill>
    <fill>
      <patternFill patternType="solid">
        <fgColor rgb="FF9FC46E"/>
        <bgColor rgb="FF9BBB59"/>
      </patternFill>
    </fill>
    <fill>
      <patternFill patternType="solid">
        <fgColor rgb="FFD48C3E"/>
        <bgColor rgb="FFFF8080"/>
      </patternFill>
    </fill>
    <fill>
      <patternFill patternType="solid">
        <fgColor rgb="FFD3D9E0"/>
        <bgColor rgb="FFDCE6F2"/>
      </patternFill>
    </fill>
    <fill>
      <patternFill patternType="solid">
        <fgColor theme="0" tint="-4.9989318521683403E-2"/>
        <bgColor indexed="64"/>
      </patternFill>
    </fill>
    <fill>
      <patternFill patternType="solid">
        <fgColor theme="8" tint="-0.249977111117893"/>
        <bgColor rgb="FF384B61"/>
      </patternFill>
    </fill>
    <fill>
      <patternFill patternType="solid">
        <fgColor rgb="FF384B61"/>
        <bgColor indexed="64"/>
      </patternFill>
    </fill>
    <fill>
      <patternFill patternType="solid">
        <fgColor rgb="FFD3D9E0"/>
        <bgColor indexed="64"/>
      </patternFill>
    </fill>
    <fill>
      <patternFill patternType="solid">
        <fgColor rgb="FFF8F8F8"/>
        <bgColor indexed="64"/>
      </patternFill>
    </fill>
    <fill>
      <patternFill patternType="solid">
        <fgColor rgb="FFEBF1DE"/>
        <bgColor rgb="FFF2F2F2"/>
      </patternFill>
    </fill>
    <fill>
      <patternFill patternType="solid">
        <fgColor rgb="FFFDEADA"/>
        <bgColor rgb="FFEBF1DE"/>
      </patternFill>
    </fill>
    <fill>
      <patternFill patternType="solid">
        <fgColor rgb="FFDCE6F2"/>
        <bgColor rgb="FFD3D9E0"/>
      </patternFill>
    </fill>
    <fill>
      <patternFill patternType="solid">
        <fgColor theme="0" tint="-4.9989318521683403E-2"/>
        <bgColor rgb="FFDCE6F2"/>
      </patternFill>
    </fill>
    <fill>
      <patternFill patternType="solid">
        <fgColor rgb="FFD3D9E0"/>
        <bgColor rgb="FFF3F5FB"/>
      </patternFill>
    </fill>
    <fill>
      <patternFill patternType="solid">
        <fgColor rgb="FF1F497D"/>
        <bgColor rgb="FF1F497C"/>
      </patternFill>
    </fill>
    <fill>
      <patternFill patternType="solid">
        <fgColor rgb="FFC0504D"/>
        <bgColor rgb="FF993366"/>
      </patternFill>
    </fill>
    <fill>
      <patternFill patternType="solid">
        <fgColor rgb="FF9BBB59"/>
        <bgColor rgb="FF9FC46E"/>
      </patternFill>
    </fill>
    <fill>
      <patternFill patternType="solid">
        <fgColor theme="3"/>
        <bgColor indexed="64"/>
      </patternFill>
    </fill>
    <fill>
      <patternFill patternType="solid">
        <fgColor theme="8" tint="-0.499984740745262"/>
        <bgColor indexed="64"/>
      </patternFill>
    </fill>
    <fill>
      <patternFill patternType="solid">
        <fgColor rgb="FFF8F8F8"/>
        <bgColor rgb="FFF3F5FB"/>
      </patternFill>
    </fill>
    <fill>
      <patternFill patternType="solid">
        <fgColor theme="9"/>
        <bgColor indexed="64"/>
      </patternFill>
    </fill>
    <fill>
      <patternFill patternType="solid">
        <fgColor theme="4"/>
        <bgColor indexed="64"/>
      </patternFill>
    </fill>
    <fill>
      <patternFill patternType="solid">
        <fgColor theme="9"/>
        <bgColor rgb="FF9FC46E"/>
      </patternFill>
    </fill>
    <fill>
      <patternFill patternType="solid">
        <fgColor rgb="FFE43A3A"/>
        <bgColor rgb="FF993366"/>
      </patternFill>
    </fill>
    <fill>
      <patternFill patternType="solid">
        <fgColor rgb="FFE43A3A"/>
        <bgColor indexed="64"/>
      </patternFill>
    </fill>
    <fill>
      <patternFill patternType="solid">
        <fgColor theme="5" tint="-0.249977111117893"/>
        <bgColor indexed="64"/>
      </patternFill>
    </fill>
    <fill>
      <patternFill patternType="solid">
        <fgColor rgb="FF384B61"/>
        <bgColor rgb="FF1F497D"/>
      </patternFill>
    </fill>
    <fill>
      <patternFill patternType="solid">
        <fgColor rgb="FFD3D9E0"/>
        <bgColor rgb="FFD9D9D9"/>
      </patternFill>
    </fill>
    <fill>
      <patternFill patternType="solid">
        <fgColor rgb="FFF0F3FA"/>
        <bgColor rgb="FFF3F5FB"/>
      </patternFill>
    </fill>
    <fill>
      <patternFill patternType="solid">
        <fgColor theme="5"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0000"/>
        <bgColor indexed="64"/>
      </patternFill>
    </fill>
    <fill>
      <patternFill patternType="solid">
        <fgColor rgb="FF4B6481"/>
        <bgColor indexed="64"/>
      </patternFill>
    </fill>
    <fill>
      <patternFill patternType="solid">
        <fgColor rgb="FFF3F5FB"/>
        <bgColor indexed="64"/>
      </patternFill>
    </fill>
    <fill>
      <patternFill patternType="solid">
        <fgColor theme="6" tint="0.79998168889431442"/>
        <bgColor indexed="64"/>
      </patternFill>
    </fill>
    <fill>
      <patternFill patternType="solid">
        <fgColor rgb="FF848789"/>
        <bgColor indexed="64"/>
      </patternFill>
    </fill>
    <fill>
      <patternFill patternType="solid">
        <fgColor rgb="FF9FC46E"/>
        <bgColor indexed="64"/>
      </patternFill>
    </fill>
    <fill>
      <patternFill patternType="solid">
        <fgColor rgb="FFD48C3E"/>
        <bgColor indexed="64"/>
      </patternFill>
    </fill>
    <fill>
      <patternFill patternType="solid">
        <fgColor theme="3" tint="0.39997558519241921"/>
        <bgColor indexed="64"/>
      </patternFill>
    </fill>
  </fills>
  <borders count="2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bottom style="hair">
        <color auto="1"/>
      </bottom>
      <diagonal/>
    </border>
    <border>
      <left/>
      <right/>
      <top/>
      <bottom style="hair">
        <color auto="1"/>
      </bottom>
      <diagonal/>
    </border>
    <border>
      <left style="thin">
        <color auto="1"/>
      </left>
      <right style="thin">
        <color auto="1"/>
      </right>
      <top/>
      <bottom style="hair">
        <color auto="1"/>
      </bottom>
      <diagonal/>
    </border>
    <border>
      <left/>
      <right/>
      <top/>
      <bottom style="thin">
        <color auto="1"/>
      </bottom>
      <diagonal/>
    </border>
    <border>
      <left style="thin">
        <color auto="1"/>
      </left>
      <right style="thin">
        <color auto="1"/>
      </right>
      <top/>
      <bottom style="thin">
        <color auto="1"/>
      </bottom>
      <diagonal/>
    </border>
    <border>
      <left/>
      <right/>
      <top/>
      <bottom style="medium">
        <color auto="1"/>
      </bottom>
      <diagonal/>
    </border>
    <border>
      <left style="thin">
        <color indexed="64"/>
      </left>
      <right/>
      <top style="thin">
        <color indexed="64"/>
      </top>
      <bottom style="hair">
        <color indexed="64"/>
      </bottom>
      <diagonal/>
    </border>
    <border>
      <left style="thin">
        <color indexed="64"/>
      </left>
      <right style="thin">
        <color auto="1"/>
      </right>
      <top style="thin">
        <color indexed="64"/>
      </top>
      <bottom style="hair">
        <color indexed="64"/>
      </bottom>
      <diagonal/>
    </border>
  </borders>
  <cellStyleXfs count="10">
    <xf borderId="0" fillId="0" fontId="0" numFmtId="0"/>
    <xf applyAlignment="0" applyBorder="0" applyFill="0" applyFont="0" applyProtection="0" borderId="0" fillId="0" fontId="1" numFmtId="9"/>
    <xf applyAlignment="0" applyBorder="0" applyFill="0" applyNumberFormat="0" applyProtection="0" borderId="0" fillId="0" fontId="3" numFmtId="0"/>
    <xf borderId="0" fillId="0" fontId="1" numFmtId="0"/>
    <xf borderId="0" fillId="0" fontId="14" numFmtId="0"/>
    <xf borderId="0" fillId="0" fontId="24" numFmtId="0"/>
    <xf borderId="0" fillId="0" fontId="1" numFmtId="0"/>
    <xf borderId="0" fillId="0" fontId="6" numFmtId="0"/>
    <xf borderId="0" fillId="0" fontId="6" numFmtId="0"/>
    <xf applyAlignment="0" applyBorder="0" applyFill="0" applyFont="0" applyProtection="0" borderId="0" fillId="0" fontId="1" numFmtId="44"/>
  </cellStyleXfs>
  <cellXfs count="981">
    <xf borderId="0" fillId="0" fontId="0" numFmtId="0" xfId="0"/>
    <xf applyFill="1" borderId="0" fillId="2" fontId="0" numFmtId="0" xfId="0"/>
    <xf applyAlignment="1" applyFill="1" applyFont="1" borderId="0" fillId="3" fontId="7" numFmtId="0" xfId="2">
      <alignment horizontal="left" vertical="center"/>
    </xf>
    <xf applyAlignment="1" applyFill="1" applyFont="1" borderId="0" fillId="3" fontId="8" numFmtId="0" xfId="2">
      <alignment horizontal="left" vertical="center"/>
    </xf>
    <xf applyAlignment="1" applyFill="1" applyFont="1" borderId="0" fillId="2" fontId="7" numFmtId="0" xfId="3">
      <alignment horizontal="left" vertical="center"/>
    </xf>
    <xf applyAlignment="1" applyBorder="1" applyFill="1" applyFont="1" applyProtection="1" borderId="0" fillId="2" fontId="8" numFmtId="0" xfId="3">
      <alignment horizontal="left" vertical="center"/>
    </xf>
    <xf applyAlignment="1" applyBorder="1" applyFill="1" applyFont="1" applyNumberFormat="1" applyProtection="1" borderId="5" fillId="18" fontId="16" numFmtId="169" quotePrefix="1" xfId="3">
      <alignment horizontal="right" vertical="center"/>
    </xf>
    <xf applyAlignment="1" applyBorder="1" applyFill="1" applyFont="1" applyNumberFormat="1" applyProtection="1" borderId="7" fillId="18" fontId="16" numFmtId="169" quotePrefix="1" xfId="3">
      <alignment horizontal="right" vertical="center"/>
    </xf>
    <xf applyBorder="1" applyFill="1" applyFont="1" borderId="5" fillId="3" fontId="0" numFmtId="0" xfId="0"/>
    <xf applyAlignment="1" applyBorder="1" applyFill="1" applyFont="1" borderId="0" fillId="3" fontId="7" numFmtId="0" xfId="2">
      <alignment horizontal="left" vertical="center"/>
    </xf>
    <xf applyAlignment="1" applyBorder="1" applyFill="1" applyFont="1" borderId="0" fillId="3" fontId="8" numFmtId="0" xfId="2">
      <alignment horizontal="left" vertical="center"/>
    </xf>
    <xf applyAlignment="1" applyBorder="1" applyFill="1" applyFont="1" applyNumberFormat="1" borderId="0" fillId="28" fontId="2" numFmtId="3" xfId="5">
      <alignment horizontal="left" vertical="center"/>
    </xf>
    <xf applyAlignment="1" applyBorder="1" applyFill="1" applyFont="1" applyNumberFormat="1" borderId="0" fillId="2" fontId="22" numFmtId="3" xfId="5">
      <alignment horizontal="left" vertical="center"/>
    </xf>
    <xf applyAlignment="1" applyBorder="1" applyFill="1" applyFont="1" applyNumberFormat="1" borderId="0" fillId="2" fontId="17" numFmtId="3" xfId="5">
      <alignment horizontal="left" vertical="center"/>
    </xf>
    <xf applyAlignment="1" applyBorder="1" applyFont="1" applyNumberFormat="1" borderId="0" fillId="0" fontId="17" numFmtId="3" xfId="5">
      <alignment horizontal="left" vertical="center"/>
    </xf>
    <xf applyAlignment="1" applyBorder="1" applyFill="1" applyFont="1" applyNumberFormat="1" borderId="1" fillId="28" fontId="2" numFmtId="3" xfId="5">
      <alignment horizontal="left" vertical="center"/>
    </xf>
    <xf applyAlignment="1" applyBorder="1" applyFill="1" applyFont="1" applyNumberFormat="1" borderId="9" fillId="28" fontId="2" numFmtId="3" xfId="5">
      <alignment horizontal="right" vertical="center"/>
    </xf>
    <xf applyAlignment="1" applyBorder="1" applyFill="1" applyFont="1" applyNumberFormat="1" borderId="11" fillId="28" fontId="2" numFmtId="3" xfId="5">
      <alignment horizontal="right" vertical="center"/>
    </xf>
    <xf applyAlignment="1" applyBorder="1" applyFill="1" applyFont="1" applyNumberFormat="1" borderId="2" fillId="28" fontId="2" numFmtId="3" xfId="5">
      <alignment horizontal="right" vertical="center"/>
    </xf>
    <xf applyAlignment="1" applyFill="1" applyFont="1" borderId="0" fillId="3" fontId="0" numFmtId="0" xfId="0">
      <alignment vertical="center"/>
    </xf>
    <xf applyAlignment="1" applyFill="1" applyFont="1" borderId="0" fillId="3" fontId="7" numFmtId="0" xfId="0">
      <alignment horizontal="left" vertical="center"/>
    </xf>
    <xf applyAlignment="1" applyFill="1" applyFont="1" borderId="0" fillId="3" fontId="25" numFmtId="0" xfId="0">
      <alignment horizontal="left" vertical="center"/>
    </xf>
    <xf applyAlignment="1" applyFill="1" applyFont="1" borderId="0" fillId="3" fontId="27" numFmtId="0" xfId="0">
      <alignment horizontal="left" vertical="center"/>
    </xf>
    <xf applyAlignment="1" applyBorder="1" applyFill="1" applyFont="1" borderId="1" fillId="24" fontId="9" numFmtId="0" xfId="0">
      <alignment horizontal="left" vertical="center"/>
    </xf>
    <xf applyAlignment="1" applyBorder="1" applyFill="1" applyFont="1" borderId="11" fillId="24" fontId="9" numFmtId="0" xfId="0">
      <alignment horizontal="left" vertical="center"/>
    </xf>
    <xf applyAlignment="1" applyBorder="1" applyFill="1" applyFont="1" applyNumberFormat="1" borderId="11" fillId="24" fontId="9" numFmtId="0" xfId="0">
      <alignment horizontal="right" vertical="center"/>
    </xf>
    <xf applyBorder="1" applyFill="1" applyFont="1" borderId="10" fillId="3" fontId="0" numFmtId="0" xfId="0"/>
    <xf applyAlignment="1" applyFill="1" applyFont="1" borderId="0" fillId="23" fontId="0" numFmtId="0" xfId="0">
      <alignment vertical="center"/>
    </xf>
    <xf applyBorder="1" applyFill="1" borderId="5" fillId="2" fontId="0" numFmtId="0" xfId="0"/>
    <xf applyAlignment="1" applyFill="1" applyFont="1" applyNumberFormat="1" borderId="0" fillId="3" fontId="0" numFmtId="168" xfId="0">
      <alignment vertical="center"/>
    </xf>
    <xf applyAlignment="1" applyFill="1" applyFont="1" applyNumberFormat="1" borderId="0" fillId="3" fontId="26" numFmtId="168" xfId="0">
      <alignment shrinkToFit="1" vertical="center"/>
    </xf>
    <xf applyAlignment="1" applyFill="1" applyFont="1" applyNumberFormat="1" borderId="0" fillId="3" fontId="9" numFmtId="168" xfId="0">
      <alignment vertical="center"/>
    </xf>
    <xf applyAlignment="1" applyFill="1" applyFont="1" applyNumberFormat="1" borderId="0" fillId="3" fontId="9" numFmtId="168" xfId="1">
      <alignment vertical="center"/>
    </xf>
    <xf applyAlignment="1" applyBorder="1" applyFill="1" applyFont="1" applyNumberFormat="1" borderId="0" fillId="3" fontId="0" numFmtId="168" xfId="0">
      <alignment horizontal="right"/>
    </xf>
    <xf applyAlignment="1" applyFill="1" applyFont="1" applyNumberFormat="1" borderId="0" fillId="23" fontId="0" numFmtId="168" xfId="0">
      <alignment vertical="center"/>
    </xf>
    <xf applyFill="1" applyNumberFormat="1" borderId="0" fillId="2" fontId="0" numFmtId="168" xfId="0"/>
    <xf applyAlignment="1" applyBorder="1" applyFill="1" applyFont="1" applyNumberFormat="1" borderId="1" fillId="13" fontId="10" numFmtId="168" xfId="1">
      <alignment horizontal="right" vertical="center"/>
    </xf>
    <xf applyAlignment="1" applyBorder="1" applyFill="1" applyFont="1" applyNumberFormat="1" borderId="5" fillId="5" fontId="0" numFmtId="168" xfId="0">
      <alignment vertical="center"/>
    </xf>
    <xf applyAlignment="1" applyFill="1" applyFont="1" applyNumberFormat="1" borderId="0" fillId="3" fontId="0" numFmtId="165" xfId="0">
      <alignment vertical="center"/>
    </xf>
    <xf applyAlignment="1" applyBorder="1" applyFill="1" applyFont="1" applyNumberFormat="1" borderId="1" fillId="13" fontId="10" numFmtId="165" xfId="1">
      <alignment horizontal="right" vertical="center"/>
    </xf>
    <xf applyAlignment="1" applyBorder="1" applyFill="1" applyFont="1" applyNumberFormat="1" borderId="5" fillId="5" fontId="0" numFmtId="165" xfId="0">
      <alignment vertical="center"/>
    </xf>
    <xf applyAlignment="1" applyFill="1" applyFont="1" applyNumberFormat="1" borderId="0" fillId="23" fontId="0" numFmtId="165" xfId="0">
      <alignment vertical="center"/>
    </xf>
    <xf applyFill="1" applyNumberFormat="1" borderId="0" fillId="2" fontId="0" numFmtId="165" xfId="0"/>
    <xf applyAlignment="1" applyBorder="1" applyFill="1" applyFont="1" applyNumberFormat="1" borderId="5" fillId="29" fontId="0" numFmtId="168" xfId="0">
      <alignment vertical="center"/>
    </xf>
    <xf applyAlignment="1" applyBorder="1" applyFill="1" applyFont="1" applyNumberFormat="1" borderId="0" fillId="2" fontId="0" numFmtId="3" xfId="6">
      <alignment horizontal="right" vertical="center"/>
    </xf>
    <xf applyAlignment="1" applyBorder="1" applyFill="1" applyFont="1" applyNumberFormat="1" borderId="5" fillId="2" fontId="0" numFmtId="168" xfId="6">
      <alignment horizontal="right" vertical="center"/>
    </xf>
    <xf applyAlignment="1" applyBorder="1" applyFill="1" applyFont="1" applyNumberFormat="1" borderId="7" fillId="2" fontId="0" numFmtId="168" xfId="6">
      <alignment horizontal="right" vertical="center"/>
    </xf>
    <xf applyAlignment="1" applyBorder="1" applyFill="1" applyFont="1" applyNumberFormat="1" borderId="17" fillId="2" fontId="0" numFmtId="3" xfId="6">
      <alignment horizontal="right" vertical="center"/>
    </xf>
    <xf applyAlignment="1" applyBorder="1" applyFill="1" applyFont="1" borderId="5" fillId="2" fontId="0" numFmtId="0" xfId="6">
      <alignment horizontal="left" vertical="center"/>
    </xf>
    <xf applyAlignment="1" applyBorder="1" applyFill="1" applyFont="1" borderId="7" fillId="2" fontId="0" numFmtId="0" xfId="6">
      <alignment horizontal="left" vertical="center"/>
    </xf>
    <xf applyAlignment="1" applyBorder="1" applyFill="1" applyFont="1" applyNumberFormat="1" borderId="10" fillId="2" fontId="0" numFmtId="168" xfId="6">
      <alignment horizontal="right" vertical="center"/>
    </xf>
    <xf applyAlignment="1" applyBorder="1" applyFill="1" applyFont="1" applyNumberFormat="1" borderId="18" fillId="2" fontId="0" numFmtId="168" xfId="6">
      <alignment horizontal="right" vertical="center"/>
    </xf>
    <xf applyAlignment="1" applyFill="1" borderId="0" fillId="2" fontId="0" numFmtId="0" xfId="0">
      <alignment vertical="center"/>
    </xf>
    <xf applyAlignment="1" applyFill="1" applyNumberFormat="1" borderId="0" fillId="2" fontId="0" numFmtId="168" xfId="0">
      <alignment vertical="center"/>
    </xf>
    <xf applyAlignment="1" applyFill="1" applyFont="1" borderId="0" fillId="2" fontId="0" numFmtId="0" xfId="0">
      <alignment vertical="center"/>
    </xf>
    <xf applyAlignment="1" applyFill="1" applyFont="1" applyNumberFormat="1" borderId="0" fillId="2" fontId="0" numFmtId="168" xfId="0">
      <alignment vertical="center"/>
    </xf>
    <xf applyAlignment="1" applyBorder="1" applyFill="1" applyFont="1" borderId="0" fillId="2" fontId="0" numFmtId="0" xfId="0">
      <alignment vertical="center"/>
    </xf>
    <xf applyAlignment="1" applyBorder="1" applyFill="1" applyFont="1" applyNumberFormat="1" borderId="0" fillId="2" fontId="0" numFmtId="168" xfId="0">
      <alignment vertical="center"/>
    </xf>
    <xf applyAlignment="1" applyFill="1" applyFont="1" borderId="0" fillId="3" fontId="6" numFmtId="0" xfId="2">
      <alignment vertical="center"/>
    </xf>
    <xf applyAlignment="1" applyFill="1" applyFont="1" applyNumberFormat="1" borderId="0" fillId="3" fontId="6" numFmtId="3" xfId="2">
      <alignment vertical="center"/>
    </xf>
    <xf applyAlignment="1" applyFill="1" applyFont="1" applyNumberFormat="1" borderId="0" fillId="3" fontId="6" numFmtId="164" xfId="2">
      <alignment vertical="center"/>
    </xf>
    <xf applyAlignment="1" applyFill="1" applyFont="1" applyNumberFormat="1" borderId="0" fillId="3" fontId="6" numFmtId="168" xfId="2">
      <alignment vertical="center"/>
    </xf>
    <xf applyAlignment="1" applyFill="1" applyFont="1" applyNumberFormat="1" borderId="0" fillId="3" fontId="6" numFmtId="165" xfId="2">
      <alignment vertical="center"/>
    </xf>
    <xf applyAlignment="1" applyFill="1" applyFont="1" applyNumberFormat="1" borderId="0" fillId="3" fontId="6" numFmtId="168" xfId="2">
      <alignment horizontal="right" vertical="center"/>
    </xf>
    <xf applyAlignment="1" applyFill="1" applyFont="1" applyNumberFormat="1" borderId="0" fillId="3" fontId="6" numFmtId="165" xfId="2">
      <alignment horizontal="right" vertical="center"/>
    </xf>
    <xf applyAlignment="1" applyFill="1" applyFont="1" borderId="0" fillId="3" fontId="6" numFmtId="0" xfId="2">
      <alignment horizontal="right" vertical="center"/>
    </xf>
    <xf applyAlignment="1" applyBorder="1" applyFill="1" applyFont="1" borderId="1" fillId="8" fontId="9" numFmtId="0" xfId="0">
      <alignment vertical="center"/>
    </xf>
    <xf applyAlignment="1" applyBorder="1" applyFill="1" applyFont="1" borderId="9" fillId="8" fontId="9" numFmtId="0" xfId="0">
      <alignment vertical="center"/>
    </xf>
    <xf applyAlignment="1" applyBorder="1" applyFill="1" applyFont="1" applyNumberFormat="1" borderId="9" fillId="8" fontId="9" numFmtId="3" xfId="0">
      <alignment vertical="center"/>
    </xf>
    <xf applyAlignment="1" applyBorder="1" applyFill="1" applyFont="1" applyNumberFormat="1" borderId="2" fillId="8" fontId="9" numFmtId="3" xfId="0">
      <alignment vertical="center"/>
    </xf>
    <xf applyAlignment="1" applyBorder="1" applyFill="1" applyFont="1" applyNumberFormat="1" borderId="1" fillId="8" fontId="9" numFmtId="3" xfId="0">
      <alignment horizontal="centerContinuous" vertical="center"/>
    </xf>
    <xf applyAlignment="1" applyBorder="1" applyFill="1" applyFont="1" applyNumberFormat="1" borderId="11" fillId="8" fontId="9" numFmtId="164" xfId="0">
      <alignment horizontal="centerContinuous" vertical="center"/>
    </xf>
    <xf applyAlignment="1" applyBorder="1" applyFill="1" applyFont="1" applyNumberFormat="1" borderId="1" fillId="9" fontId="9" numFmtId="168" xfId="0">
      <alignment horizontal="centerContinuous" vertical="center"/>
    </xf>
    <xf applyAlignment="1" applyBorder="1" applyFill="1" applyFont="1" applyNumberFormat="1" borderId="11" fillId="9" fontId="9" numFmtId="165" xfId="0">
      <alignment horizontal="centerContinuous" vertical="center"/>
    </xf>
    <xf applyAlignment="1" applyBorder="1" applyFill="1" applyFont="1" applyNumberFormat="1" borderId="11" fillId="10" fontId="9" numFmtId="168" xfId="0">
      <alignment horizontal="centerContinuous" vertical="center"/>
    </xf>
    <xf applyAlignment="1" applyBorder="1" applyFill="1" applyFont="1" applyNumberFormat="1" borderId="11" fillId="10" fontId="9" numFmtId="165" xfId="0">
      <alignment horizontal="centerContinuous" vertical="center"/>
    </xf>
    <xf applyAlignment="1" applyBorder="1" applyFill="1" applyFont="1" applyNumberFormat="1" borderId="1" fillId="11" fontId="9" numFmtId="168" xfId="0">
      <alignment horizontal="centerContinuous" vertical="center"/>
    </xf>
    <xf applyAlignment="1" applyBorder="1" applyFill="1" applyFont="1" applyNumberFormat="1" borderId="2" fillId="11" fontId="9" numFmtId="165" xfId="0">
      <alignment horizontal="centerContinuous" vertical="center"/>
    </xf>
    <xf applyAlignment="1" applyBorder="1" applyFill="1" applyFont="1" applyNumberFormat="1" borderId="1" fillId="12" fontId="9" numFmtId="168" xfId="0">
      <alignment horizontal="centerContinuous" vertical="center"/>
    </xf>
    <xf applyAlignment="1" applyBorder="1" applyFill="1" applyFont="1" applyNumberFormat="1" borderId="2" fillId="12" fontId="9" numFmtId="165" xfId="0">
      <alignment horizontal="centerContinuous" vertical="center"/>
    </xf>
    <xf applyAlignment="1" applyFill="1" applyFont="1" borderId="0" fillId="3" fontId="0" numFmtId="0" xfId="0">
      <alignment horizontal="right" vertical="center"/>
    </xf>
    <xf applyAlignment="1" applyBorder="1" applyFill="1" applyFont="1" borderId="3" fillId="13" fontId="10" numFmtId="0" xfId="0">
      <alignment horizontal="left" vertical="center"/>
    </xf>
    <xf applyAlignment="1" applyBorder="1" applyFill="1" applyFont="1" borderId="12" fillId="13" fontId="10" numFmtId="0" xfId="0">
      <alignment horizontal="right" vertical="center"/>
    </xf>
    <xf applyAlignment="1" applyBorder="1" applyFill="1" applyFont="1" applyNumberFormat="1" borderId="4" fillId="13" fontId="10" numFmtId="3" xfId="0">
      <alignment horizontal="right" vertical="center"/>
    </xf>
    <xf applyAlignment="1" applyBorder="1" applyFill="1" applyFont="1" applyNumberFormat="1" borderId="0" fillId="13" fontId="10" numFmtId="3" xfId="0">
      <alignment horizontal="right" vertical="center"/>
    </xf>
    <xf applyAlignment="1" applyBorder="1" applyFill="1" applyFont="1" applyNumberFormat="1" borderId="5" fillId="13" fontId="10" numFmtId="3" xfId="0">
      <alignment horizontal="right" vertical="center"/>
    </xf>
    <xf applyAlignment="1" applyBorder="1" applyFill="1" applyFont="1" applyNumberFormat="1" borderId="3" fillId="13" fontId="10" numFmtId="3" xfId="0">
      <alignment horizontal="right" vertical="center"/>
    </xf>
    <xf applyAlignment="1" applyBorder="1" applyFill="1" applyFont="1" applyNumberFormat="1" borderId="13" fillId="13" fontId="10" numFmtId="3" xfId="0">
      <alignment horizontal="right" vertical="center"/>
    </xf>
    <xf applyAlignment="1" applyBorder="1" applyFill="1" applyFont="1" applyNumberFormat="1" borderId="3" fillId="13" fontId="10" numFmtId="164" xfId="0">
      <alignment horizontal="right" vertical="center"/>
    </xf>
    <xf applyAlignment="1" applyBorder="1" applyFill="1" applyFont="1" applyNumberFormat="1" borderId="3" fillId="13" fontId="10" numFmtId="14" xfId="0">
      <alignment horizontal="right" vertical="center"/>
    </xf>
    <xf applyAlignment="1" applyBorder="1" applyFill="1" applyFont="1" applyNumberFormat="1" borderId="13" fillId="13" fontId="10" numFmtId="168" xfId="0">
      <alignment horizontal="right" vertical="center"/>
    </xf>
    <xf applyAlignment="1" applyBorder="1" applyFill="1" applyFont="1" applyNumberFormat="1" borderId="13" fillId="13" fontId="10" numFmtId="165" xfId="0">
      <alignment horizontal="right" vertical="center"/>
    </xf>
    <xf applyAlignment="1" applyBorder="1" applyFill="1" applyFont="1" applyNumberFormat="1" borderId="4" fillId="13" fontId="10" numFmtId="165" xfId="0">
      <alignment horizontal="right" vertical="center"/>
    </xf>
    <xf applyAlignment="1" applyBorder="1" applyFill="1" applyFont="1" applyNumberFormat="1" borderId="4" fillId="13" fontId="10" numFmtId="168" xfId="0">
      <alignment horizontal="right" vertical="center"/>
    </xf>
    <xf applyAlignment="1" applyBorder="1" applyFill="1" borderId="5" fillId="3" fontId="0" numFmtId="0" xfId="0">
      <alignment horizontal="left" vertical="center"/>
    </xf>
    <xf applyAlignment="1" applyBorder="1" applyFill="1" borderId="0" fillId="3" fontId="0" numFmtId="0" xfId="0">
      <alignment horizontal="right" vertical="center"/>
    </xf>
    <xf applyAlignment="1" applyBorder="1" applyFill="1" applyNumberFormat="1" borderId="6" fillId="3" fontId="0" numFmtId="3" xfId="0">
      <alignment horizontal="right" vertical="center"/>
    </xf>
    <xf applyAlignment="1" applyBorder="1" applyFill="1" applyNumberFormat="1" borderId="0" fillId="3" fontId="0" numFmtId="3" xfId="0">
      <alignment horizontal="right" vertical="center"/>
    </xf>
    <xf applyAlignment="1" applyBorder="1" applyFill="1" applyNumberFormat="1" borderId="5" fillId="3" fontId="0" numFmtId="3" xfId="0">
      <alignment horizontal="right" vertical="center"/>
    </xf>
    <xf applyAlignment="1" applyBorder="1" applyFill="1" applyNumberFormat="1" borderId="10" fillId="3" fontId="0" numFmtId="3" xfId="0">
      <alignment horizontal="right" vertical="center"/>
    </xf>
    <xf applyAlignment="1" applyBorder="1" applyFill="1" applyNumberFormat="1" borderId="5" fillId="3" fontId="0" numFmtId="164" xfId="0">
      <alignment horizontal="right" vertical="center"/>
    </xf>
    <xf applyAlignment="1" applyBorder="1" applyFill="1" applyNumberFormat="1" borderId="10" fillId="3" fontId="0" numFmtId="168" xfId="0">
      <alignment horizontal="right" vertical="center"/>
    </xf>
    <xf applyAlignment="1" applyBorder="1" applyFill="1" applyNumberFormat="1" borderId="6" fillId="3" fontId="0" numFmtId="165" xfId="0">
      <alignment horizontal="right" vertical="center"/>
    </xf>
    <xf applyAlignment="1" applyBorder="1" applyFill="1" applyNumberFormat="1" borderId="6" fillId="3" fontId="0" numFmtId="168" xfId="0">
      <alignment horizontal="right" vertical="center"/>
    </xf>
    <xf applyAlignment="1" applyBorder="1" applyFill="1" applyFont="1" borderId="14" fillId="14" fontId="4" numFmtId="0" xfId="0">
      <alignment horizontal="left" vertical="center"/>
    </xf>
    <xf applyAlignment="1" applyBorder="1" applyFill="1" applyFont="1" borderId="15" fillId="14" fontId="4" numFmtId="0" xfId="0">
      <alignment horizontal="right" vertical="center"/>
    </xf>
    <xf applyAlignment="1" applyBorder="1" applyFill="1" applyFont="1" applyNumberFormat="1" borderId="15" fillId="14" fontId="4" numFmtId="3" xfId="0">
      <alignment horizontal="right" vertical="center"/>
    </xf>
    <xf applyAlignment="1" applyBorder="1" applyFill="1" applyFont="1" applyNumberFormat="1" borderId="16" fillId="14" fontId="4" numFmtId="3" xfId="0">
      <alignment horizontal="right" vertical="center"/>
    </xf>
    <xf applyAlignment="1" applyBorder="1" applyFill="1" applyFont="1" applyNumberFormat="1" borderId="14" fillId="14" fontId="4" numFmtId="164" xfId="0">
      <alignment horizontal="right" vertical="center"/>
    </xf>
    <xf applyAlignment="1" applyBorder="1" applyFill="1" applyFont="1" applyNumberFormat="1" borderId="14" fillId="14" fontId="4" numFmtId="168" xfId="0">
      <alignment horizontal="right" vertical="center"/>
    </xf>
    <xf applyAlignment="1" applyBorder="1" applyFill="1" applyFont="1" applyNumberFormat="1" borderId="14" fillId="14" fontId="4" numFmtId="165" xfId="0">
      <alignment horizontal="right" vertical="center"/>
    </xf>
    <xf applyAlignment="1" applyBorder="1" applyFill="1" applyFont="1" applyNumberFormat="1" borderId="16" fillId="14" fontId="4" numFmtId="165" xfId="0">
      <alignment horizontal="right" vertical="center"/>
    </xf>
    <xf applyAlignment="1" applyBorder="1" applyFill="1" applyFont="1" borderId="7" fillId="14" fontId="11" numFmtId="0" xfId="0">
      <alignment horizontal="left" vertical="center"/>
    </xf>
    <xf applyAlignment="1" applyBorder="1" applyFill="1" applyFont="1" borderId="17" fillId="14" fontId="11" numFmtId="0" xfId="0">
      <alignment horizontal="right" vertical="center"/>
    </xf>
    <xf applyAlignment="1" applyBorder="1" applyFill="1" applyFont="1" applyNumberFormat="1" borderId="17" fillId="14" fontId="11" numFmtId="3" xfId="0">
      <alignment horizontal="right" vertical="center"/>
    </xf>
    <xf applyAlignment="1" applyBorder="1" applyFill="1" applyFont="1" applyNumberFormat="1" borderId="18" fillId="14" fontId="11" numFmtId="3" xfId="0">
      <alignment horizontal="right" vertical="center"/>
    </xf>
    <xf applyAlignment="1" applyBorder="1" applyFill="1" applyFont="1" applyNumberFormat="1" borderId="7" fillId="14" fontId="11" numFmtId="164" xfId="0">
      <alignment horizontal="right" vertical="center"/>
    </xf>
    <xf applyAlignment="1" applyBorder="1" applyFill="1" applyFont="1" applyNumberFormat="1" borderId="7" fillId="14" fontId="11" numFmtId="168" xfId="0">
      <alignment horizontal="right" vertical="center"/>
    </xf>
    <xf applyAlignment="1" applyBorder="1" applyFill="1" applyFont="1" applyNumberFormat="1" borderId="18" fillId="14" fontId="11" numFmtId="165" xfId="0">
      <alignment horizontal="right" vertical="center"/>
    </xf>
    <xf applyAlignment="1" applyFill="1" applyFont="1" borderId="0" fillId="3" fontId="12" numFmtId="0" xfId="0">
      <alignment horizontal="left" vertical="center"/>
    </xf>
    <xf applyAlignment="1" applyFill="1" applyFont="1" borderId="0" fillId="3" fontId="12" numFmtId="0" xfId="0">
      <alignment horizontal="right" vertical="center"/>
    </xf>
    <xf applyAlignment="1" applyFill="1" applyFont="1" applyNumberFormat="1" borderId="0" fillId="3" fontId="12" numFmtId="3" xfId="0">
      <alignment horizontal="right" vertical="center"/>
    </xf>
    <xf applyAlignment="1" applyFill="1" applyFont="1" applyNumberFormat="1" borderId="0" fillId="3" fontId="12" numFmtId="164" xfId="0">
      <alignment horizontal="right" vertical="center"/>
    </xf>
    <xf applyAlignment="1" applyFill="1" applyFont="1" applyNumberFormat="1" borderId="0" fillId="3" fontId="12" numFmtId="168" xfId="0">
      <alignment horizontal="right" vertical="center"/>
    </xf>
    <xf applyAlignment="1" applyFill="1" applyFont="1" applyNumberFormat="1" borderId="0" fillId="3" fontId="12" numFmtId="165" xfId="0">
      <alignment horizontal="right" vertical="center"/>
    </xf>
    <xf applyAlignment="1" applyBorder="1" applyFill="1" applyFont="1" borderId="1" fillId="8" fontId="9" numFmtId="0" xfId="0">
      <alignment horizontal="left" vertical="center"/>
    </xf>
    <xf applyAlignment="1" applyBorder="1" applyFill="1" applyFont="1" borderId="9" fillId="8" fontId="9" numFmtId="0" xfId="0">
      <alignment horizontal="right" vertical="center"/>
    </xf>
    <xf applyAlignment="1" applyBorder="1" applyFill="1" applyFont="1" applyNumberFormat="1" borderId="9" fillId="8" fontId="9" numFmtId="3" xfId="0">
      <alignment horizontal="right" vertical="center"/>
    </xf>
    <xf applyAlignment="1" applyBorder="1" applyFill="1" applyFont="1" applyNumberFormat="1" borderId="2" fillId="8" fontId="9" numFmtId="3" xfId="0">
      <alignment horizontal="right" vertical="center"/>
    </xf>
    <xf applyAlignment="1" applyBorder="1" applyFill="1" applyFont="1" applyNumberFormat="1" borderId="1" fillId="8" fontId="9" numFmtId="164" xfId="0">
      <alignment horizontal="centerContinuous" vertical="center"/>
    </xf>
    <xf applyAlignment="1" applyBorder="1" applyFill="1" applyFont="1" applyNumberFormat="1" borderId="1" fillId="9" fontId="9" numFmtId="165" xfId="0">
      <alignment horizontal="centerContinuous" vertical="center"/>
    </xf>
    <xf applyAlignment="1" applyBorder="1" applyFill="1" applyFont="1" applyNumberFormat="1" borderId="5" fillId="3" fontId="0" numFmtId="168" xfId="0">
      <alignment horizontal="right" vertical="center"/>
    </xf>
    <xf applyAlignment="1" applyFill="1" applyFont="1" applyNumberFormat="1" borderId="0" fillId="3" fontId="0" numFmtId="165" xfId="0">
      <alignment horizontal="right" vertical="center"/>
    </xf>
    <xf applyAlignment="1" applyBorder="1" applyFill="1" applyFont="1" borderId="13" fillId="13" fontId="10" numFmtId="0" xfId="0">
      <alignment horizontal="left" vertical="center"/>
    </xf>
    <xf applyAlignment="1" applyBorder="1" applyFill="1" applyFont="1" borderId="4" fillId="13" fontId="10" numFmtId="0" xfId="0">
      <alignment horizontal="right" vertical="center"/>
    </xf>
    <xf applyAlignment="1" applyBorder="1" applyFill="1" applyFont="1" applyNumberFormat="1" borderId="12" fillId="13" fontId="10" numFmtId="3" xfId="0">
      <alignment horizontal="right" vertical="center"/>
    </xf>
    <xf applyAlignment="1" applyBorder="1" applyFill="1" applyFont="1" applyNumberFormat="1" borderId="4" fillId="13" fontId="10" numFmtId="164" xfId="0">
      <alignment horizontal="right" vertical="center"/>
    </xf>
    <xf applyAlignment="1" applyBorder="1" applyFill="1" applyFont="1" applyNumberFormat="1" borderId="12" fillId="13" fontId="10" numFmtId="165" xfId="0">
      <alignment horizontal="right" vertical="center"/>
    </xf>
    <xf applyAlignment="1" applyBorder="1" applyFill="1" borderId="10" fillId="3" fontId="0" numFmtId="0" xfId="0">
      <alignment horizontal="left" vertical="center"/>
    </xf>
    <xf applyAlignment="1" applyBorder="1" applyFill="1" borderId="6" fillId="3" fontId="0" numFmtId="0" xfId="0">
      <alignment horizontal="right" vertical="center"/>
    </xf>
    <xf applyAlignment="1" applyBorder="1" applyFill="1" applyFont="1" borderId="16" fillId="14" fontId="4" numFmtId="0" xfId="0">
      <alignment horizontal="right" vertical="center"/>
    </xf>
    <xf applyAlignment="1" applyBorder="1" applyFill="1" applyFont="1" applyNumberFormat="1" borderId="14" fillId="14" fontId="4" numFmtId="3" xfId="0">
      <alignment horizontal="right" vertical="center"/>
    </xf>
    <xf applyAlignment="1" applyBorder="1" applyFill="1" applyFont="1" applyNumberFormat="1" borderId="16" fillId="14" fontId="4" numFmtId="164" xfId="0">
      <alignment horizontal="right" vertical="center"/>
    </xf>
    <xf applyAlignment="1" applyBorder="1" applyFill="1" applyFont="1" applyNumberFormat="1" borderId="16" fillId="14" fontId="4" numFmtId="168" xfId="0">
      <alignment horizontal="right" vertical="center"/>
    </xf>
    <xf applyAlignment="1" applyBorder="1" applyFill="1" applyFont="1" borderId="18" fillId="14" fontId="11" numFmtId="0" xfId="0">
      <alignment horizontal="right" vertical="center"/>
    </xf>
    <xf applyAlignment="1" applyBorder="1" applyFill="1" applyFont="1" applyNumberFormat="1" borderId="18" fillId="14" fontId="11" numFmtId="168" xfId="0">
      <alignment horizontal="right" vertical="center"/>
    </xf>
    <xf applyAlignment="1" applyBorder="1" applyFill="1" applyFont="1" applyNumberFormat="1" borderId="7" fillId="14" fontId="11" numFmtId="165" xfId="0">
      <alignment horizontal="right" vertical="center"/>
    </xf>
    <xf applyAlignment="1" applyFill="1" applyFont="1" applyNumberFormat="1" borderId="0" fillId="3" fontId="0" numFmtId="3" xfId="0">
      <alignment horizontal="right" vertical="center"/>
    </xf>
    <xf applyAlignment="1" applyFill="1" applyFont="1" applyNumberFormat="1" borderId="0" fillId="3" fontId="0" numFmtId="164" xfId="0">
      <alignment horizontal="right" vertical="center"/>
    </xf>
    <xf applyAlignment="1" applyFill="1" applyFont="1" applyNumberFormat="1" borderId="0" fillId="3" fontId="0" numFmtId="168" xfId="0">
      <alignment horizontal="right" vertical="center"/>
    </xf>
    <xf applyAlignment="1" applyBorder="1" applyFill="1" applyFont="1" applyNumberFormat="1" borderId="1" fillId="15" fontId="9" numFmtId="168" xfId="0">
      <alignment horizontal="centerContinuous" vertical="center"/>
    </xf>
    <xf applyAlignment="1" applyBorder="1" applyFill="1" applyFont="1" applyNumberFormat="1" borderId="9" fillId="15" fontId="9" numFmtId="165" xfId="0">
      <alignment horizontal="centerContinuous" vertical="center"/>
    </xf>
    <xf applyAlignment="1" applyBorder="1" applyFill="1" applyFont="1" applyNumberFormat="1" borderId="9" fillId="15" fontId="9" numFmtId="168" xfId="0">
      <alignment horizontal="centerContinuous" vertical="center"/>
    </xf>
    <xf applyAlignment="1" applyBorder="1" applyFill="1" applyFont="1" borderId="9" fillId="15" fontId="9" numFmtId="0" xfId="0">
      <alignment horizontal="centerContinuous" vertical="center"/>
    </xf>
    <xf applyAlignment="1" applyBorder="1" applyFill="1" applyFont="1" applyNumberFormat="1" borderId="13" fillId="13" fontId="10" numFmtId="14" xfId="0">
      <alignment horizontal="right" vertical="center"/>
    </xf>
    <xf applyAlignment="1" applyBorder="1" applyFill="1" applyFont="1" borderId="10" fillId="5" fontId="0" numFmtId="0" xfId="0">
      <alignment horizontal="left" vertical="center"/>
    </xf>
    <xf applyAlignment="1" applyBorder="1" applyFill="1" applyFont="1" borderId="6" fillId="5" fontId="0" numFmtId="0" xfId="0">
      <alignment horizontal="right" vertical="center"/>
    </xf>
    <xf applyAlignment="1" applyBorder="1" applyFill="1" applyFont="1" applyNumberFormat="1" borderId="6" fillId="5" fontId="0" numFmtId="3" xfId="0">
      <alignment horizontal="right" vertical="center"/>
    </xf>
    <xf applyAlignment="1" applyBorder="1" applyFill="1" applyFont="1" applyNumberFormat="1" borderId="10" fillId="2" fontId="13" numFmtId="14" xfId="0">
      <alignment horizontal="right" vertical="center"/>
    </xf>
    <xf applyAlignment="1" applyBorder="1" applyFill="1" applyFont="1" applyNumberFormat="1" borderId="5" fillId="5" fontId="0" numFmtId="14" xfId="0">
      <alignment horizontal="right" vertical="center"/>
    </xf>
    <xf applyAlignment="1" applyBorder="1" applyFill="1" applyFont="1" applyNumberFormat="1" borderId="10" fillId="5" fontId="0" numFmtId="168" xfId="0">
      <alignment horizontal="right" vertical="center"/>
    </xf>
    <xf applyAlignment="1" applyBorder="1" applyFill="1" applyFont="1" applyNumberFormat="1" borderId="6" fillId="5" fontId="0" numFmtId="168" xfId="0">
      <alignment horizontal="right" vertical="center"/>
    </xf>
    <xf applyAlignment="1" applyFill="1" applyFont="1" applyNumberFormat="1" borderId="0" fillId="5" fontId="13" numFmtId="168" xfId="0">
      <alignment horizontal="right" vertical="center"/>
    </xf>
    <xf applyAlignment="1" applyFill="1" applyFont="1" applyNumberFormat="1" borderId="0" fillId="5" fontId="0" numFmtId="165" xfId="0">
      <alignment horizontal="right" vertical="center"/>
    </xf>
    <xf applyAlignment="1" applyFill="1" applyFont="1" applyNumberFormat="1" borderId="0" fillId="5" fontId="0" numFmtId="168" xfId="0">
      <alignment horizontal="right" vertical="center"/>
    </xf>
    <xf applyAlignment="1" applyFill="1" applyFont="1" borderId="0" fillId="5" fontId="0" numFmtId="0" xfId="0">
      <alignment horizontal="right" vertical="center"/>
    </xf>
    <xf applyAlignment="1" applyFill="1" applyFont="1" borderId="0" fillId="7" fontId="0" numFmtId="0" xfId="0">
      <alignment vertical="center"/>
    </xf>
    <xf applyAlignment="1" applyFill="1" applyFont="1" applyNumberFormat="1" borderId="0" fillId="7" fontId="0" numFmtId="3" xfId="0">
      <alignment vertical="center"/>
    </xf>
    <xf applyAlignment="1" applyFill="1" applyFont="1" applyNumberFormat="1" borderId="0" fillId="7" fontId="0" numFmtId="164" xfId="0">
      <alignment vertical="center"/>
    </xf>
    <xf applyAlignment="1" applyFill="1" applyFont="1" applyNumberFormat="1" borderId="0" fillId="7" fontId="0" numFmtId="168" xfId="0">
      <alignment horizontal="center" vertical="center"/>
    </xf>
    <xf applyAlignment="1" applyFill="1" applyFont="1" applyNumberFormat="1" borderId="0" fillId="7" fontId="0" numFmtId="165" xfId="0">
      <alignment vertical="center"/>
    </xf>
    <xf applyAlignment="1" applyFill="1" applyFont="1" applyNumberFormat="1" borderId="0" fillId="7" fontId="0" numFmtId="168" xfId="0">
      <alignment vertical="center"/>
    </xf>
    <xf applyAlignment="1" applyFill="1" applyFont="1" applyNumberFormat="1" borderId="0" fillId="7" fontId="0" numFmtId="168" xfId="0">
      <alignment horizontal="right" vertical="center"/>
    </xf>
    <xf applyAlignment="1" applyFill="1" applyFont="1" applyNumberFormat="1" borderId="0" fillId="7" fontId="0" numFmtId="165" xfId="0">
      <alignment horizontal="right" vertical="center"/>
    </xf>
    <xf applyAlignment="1" applyFill="1" applyFont="1" borderId="0" fillId="7" fontId="0" numFmtId="0" xfId="0">
      <alignment horizontal="right" vertical="center"/>
    </xf>
    <xf applyAlignment="1" applyFill="1" applyFont="1" borderId="0" fillId="5" fontId="0" numFmtId="0" xfId="0">
      <alignment vertical="center"/>
    </xf>
    <xf applyAlignment="1" applyFill="1" applyFont="1" applyNumberFormat="1" borderId="0" fillId="5" fontId="0" numFmtId="3" xfId="0">
      <alignment vertical="center"/>
    </xf>
    <xf applyAlignment="1" applyFill="1" applyFont="1" applyNumberFormat="1" borderId="0" fillId="5" fontId="0" numFmtId="164" xfId="0">
      <alignment vertical="center"/>
    </xf>
    <xf applyAlignment="1" applyFill="1" applyFont="1" applyNumberFormat="1" borderId="0" fillId="5" fontId="0" numFmtId="168" xfId="0">
      <alignment horizontal="center" vertical="center"/>
    </xf>
    <xf applyAlignment="1" applyFill="1" applyFont="1" applyNumberFormat="1" borderId="0" fillId="5" fontId="0" numFmtId="165" xfId="0">
      <alignment vertical="center"/>
    </xf>
    <xf applyAlignment="1" applyFill="1" applyFont="1" applyNumberFormat="1" borderId="0" fillId="5" fontId="0" numFmtId="168" xfId="0">
      <alignment vertical="center"/>
    </xf>
    <xf applyAlignment="1" applyFill="1" applyFont="1" applyNumberFormat="1" borderId="0" fillId="3" fontId="0" numFmtId="3" xfId="0">
      <alignment vertical="center"/>
    </xf>
    <xf applyAlignment="1" applyFill="1" applyFont="1" applyNumberFormat="1" borderId="0" fillId="3" fontId="0" numFmtId="164" xfId="0">
      <alignment vertical="center"/>
    </xf>
    <xf applyAlignment="1" applyFill="1" applyFont="1" applyNumberFormat="1" borderId="0" fillId="3" fontId="0" numFmtId="168" xfId="0">
      <alignment horizontal="center" vertical="center"/>
    </xf>
    <xf applyAlignment="1" applyBorder="1" applyFill="1" applyFont="1" borderId="1" fillId="4" fontId="9" numFmtId="0" xfId="0">
      <alignment vertical="center"/>
    </xf>
    <xf applyAlignment="1" applyBorder="1" applyFill="1" applyFont="1" borderId="2" fillId="4" fontId="9" numFmtId="0" xfId="0">
      <alignment vertical="center"/>
    </xf>
    <xf applyAlignment="1" applyBorder="1" applyFill="1" applyFont="1" borderId="9" fillId="4" fontId="9" numFmtId="0" xfId="0">
      <alignment vertical="center"/>
    </xf>
    <xf applyAlignment="1" applyBorder="1" applyFill="1" applyFont="1" applyNumberFormat="1" borderId="9" fillId="4" fontId="9" numFmtId="164" xfId="0">
      <alignment vertical="center"/>
    </xf>
    <xf applyAlignment="1" applyBorder="1" applyFill="1" applyFont="1" applyNumberFormat="1" borderId="9" fillId="4" fontId="9" numFmtId="165" xfId="0">
      <alignment vertical="center"/>
    </xf>
    <xf applyAlignment="1" applyBorder="1" applyFill="1" applyFont="1" applyNumberFormat="1" borderId="2" fillId="4" fontId="9" numFmtId="165" xfId="0">
      <alignment vertical="center"/>
    </xf>
    <xf applyAlignment="1" applyBorder="1" applyFill="1" applyFont="1" borderId="5" fillId="7" fontId="10" numFmtId="0" xfId="0">
      <alignment horizontal="left" vertical="center"/>
    </xf>
    <xf applyAlignment="1" applyFill="1" applyFont="1" borderId="0" fillId="7" fontId="10" numFmtId="0" xfId="0">
      <alignment horizontal="right" vertical="center"/>
    </xf>
    <xf applyAlignment="1" applyBorder="1" applyFill="1" applyFont="1" applyNumberFormat="1" borderId="5" fillId="7" fontId="10" numFmtId="164" xfId="0">
      <alignment horizontal="right" vertical="center"/>
    </xf>
    <xf applyAlignment="1" applyBorder="1" applyFill="1" applyFont="1" applyNumberFormat="1" borderId="10" fillId="7" fontId="10" numFmtId="165" xfId="0">
      <alignment horizontal="right" vertical="center"/>
    </xf>
    <xf applyAlignment="1" applyBorder="1" applyFill="1" applyFont="1" borderId="5" fillId="3" fontId="0" numFmtId="0" xfId="0">
      <alignment horizontal="left" vertical="center"/>
    </xf>
    <xf applyAlignment="1" applyBorder="1" applyFill="1" applyFont="1" applyNumberFormat="1" borderId="5" fillId="3" fontId="0" numFmtId="164" xfId="0">
      <alignment horizontal="right" vertical="center"/>
    </xf>
    <xf applyAlignment="1" applyBorder="1" applyFill="1" applyFont="1" applyNumberFormat="1" borderId="10" fillId="3" fontId="0" numFmtId="165" xfId="0">
      <alignment horizontal="right" vertical="center"/>
    </xf>
    <xf applyAlignment="1" applyBorder="1" applyFill="1" applyFont="1" applyNumberFormat="1" borderId="10" fillId="7" fontId="10" numFmtId="164" xfId="0">
      <alignment horizontal="right" vertical="center"/>
    </xf>
    <xf applyAlignment="1" applyBorder="1" applyFill="1" applyFont="1" applyNumberFormat="1" borderId="10" fillId="3" fontId="0" numFmtId="164" xfId="0">
      <alignment horizontal="right" vertical="center"/>
    </xf>
    <xf applyAlignment="1" applyFill="1" applyFont="1" applyNumberFormat="1" borderId="0" fillId="2" fontId="1" numFmtId="0" xfId="4">
      <alignment vertical="center"/>
    </xf>
    <xf applyAlignment="1" applyFill="1" applyFont="1" applyNumberFormat="1" borderId="0" fillId="2" fontId="1" numFmtId="6" xfId="4">
      <alignment vertical="center"/>
    </xf>
    <xf applyAlignment="1" applyFill="1" applyFont="1" applyNumberFormat="1" borderId="0" fillId="2" fontId="1" numFmtId="8" xfId="4">
      <alignment vertical="center"/>
    </xf>
    <xf applyAlignment="1" applyFill="1" applyFont="1" applyNumberFormat="1" borderId="0" fillId="2" fontId="1" numFmtId="164" xfId="4">
      <alignment vertical="center"/>
    </xf>
    <xf applyAlignment="1" applyFill="1" borderId="0" fillId="2" fontId="1" numFmtId="0" xfId="3">
      <alignment vertical="center"/>
    </xf>
    <xf applyAlignment="1" applyFill="1" applyNumberFormat="1" borderId="0" fillId="2" fontId="1" numFmtId="168" xfId="3">
      <alignment vertical="center"/>
    </xf>
    <xf applyAlignment="1" applyFill="1" applyNumberFormat="1" borderId="0" fillId="2" fontId="1" numFmtId="165" xfId="3">
      <alignment vertical="center"/>
    </xf>
    <xf applyAlignment="1" applyFill="1" applyFont="1" borderId="0" fillId="2" fontId="1" numFmtId="0" quotePrefix="1" xfId="3">
      <alignment vertical="center"/>
    </xf>
    <xf applyAlignment="1" applyBorder="1" applyFill="1" borderId="0" fillId="2" fontId="1" numFmtId="0" xfId="3">
      <alignment vertical="center"/>
    </xf>
    <xf applyAlignment="1" applyBorder="1" applyFill="1" applyNumberFormat="1" borderId="0" fillId="2" fontId="1" numFmtId="6" xfId="3">
      <alignment vertical="center"/>
    </xf>
    <xf applyAlignment="1" applyBorder="1" applyFill="1" applyNumberFormat="1" borderId="0" fillId="2" fontId="1" numFmtId="8" xfId="3">
      <alignment vertical="center"/>
    </xf>
    <xf applyAlignment="1" applyBorder="1" applyFill="1" applyNumberFormat="1" borderId="0" fillId="2" fontId="1" numFmtId="164" xfId="3">
      <alignment vertical="center"/>
    </xf>
    <xf applyAlignment="1" applyBorder="1" applyFill="1" applyNumberFormat="1" borderId="0" fillId="2" fontId="1" numFmtId="5" xfId="3">
      <alignment vertical="center"/>
    </xf>
    <xf applyAlignment="1" applyBorder="1" applyFill="1" applyNumberFormat="1" borderId="0" fillId="2" fontId="1" numFmtId="7" xfId="3">
      <alignment vertical="center"/>
    </xf>
    <xf applyAlignment="1" applyBorder="1" applyFill="1" applyFont="1" applyNumberFormat="1" borderId="1" fillId="10" fontId="9" numFmtId="168" xfId="0">
      <alignment horizontal="centerContinuous" vertical="center"/>
    </xf>
    <xf applyAlignment="1" applyBorder="1" applyFill="1" applyFont="1" applyNumberFormat="1" borderId="9" fillId="10" fontId="9" numFmtId="165" xfId="0">
      <alignment horizontal="centerContinuous" vertical="center"/>
    </xf>
    <xf applyAlignment="1" applyBorder="1" applyFill="1" applyFont="1" borderId="1" fillId="16" fontId="15" numFmtId="0" xfId="3">
      <alignment horizontal="centerContinuous" vertical="center"/>
    </xf>
    <xf applyAlignment="1" applyBorder="1" applyFill="1" applyFont="1" borderId="9" fillId="16" fontId="15" numFmtId="0" xfId="3">
      <alignment horizontal="centerContinuous" vertical="center"/>
    </xf>
    <xf applyAlignment="1" applyBorder="1" applyFill="1" applyFont="1" applyNumberFormat="1" borderId="9" fillId="16" fontId="15" numFmtId="6" xfId="3">
      <alignment horizontal="centerContinuous" vertical="center"/>
    </xf>
    <xf applyAlignment="1" applyBorder="1" applyFill="1" applyFont="1" applyNumberFormat="1" borderId="9" fillId="16" fontId="15" numFmtId="8" xfId="3">
      <alignment horizontal="centerContinuous" vertical="center"/>
    </xf>
    <xf applyAlignment="1" applyBorder="1" applyFill="1" applyFont="1" applyNumberFormat="1" borderId="11" fillId="16" fontId="15" numFmtId="6" xfId="3">
      <alignment horizontal="centerContinuous" vertical="center"/>
    </xf>
    <xf applyAlignment="1" applyBorder="1" applyFill="1" applyFont="1" applyNumberFormat="1" borderId="9" fillId="16" fontId="15" numFmtId="164" xfId="3">
      <alignment horizontal="centerContinuous" vertical="center"/>
    </xf>
    <xf applyAlignment="1" applyBorder="1" applyFill="1" applyFont="1" applyNumberFormat="1" borderId="1" fillId="16" fontId="2" numFmtId="0" xfId="4">
      <alignment horizontal="centerContinuous" vertical="center"/>
    </xf>
    <xf applyAlignment="1" applyBorder="1" applyFill="1" applyFont="1" applyNumberFormat="1" borderId="9" fillId="16" fontId="2" numFmtId="0" xfId="4">
      <alignment horizontal="centerContinuous" vertical="center"/>
    </xf>
    <xf applyAlignment="1" applyBorder="1" applyFill="1" borderId="5" fillId="2" fontId="1" numFmtId="0" xfId="3">
      <alignment vertical="center"/>
    </xf>
    <xf applyAlignment="1" applyBorder="1" applyFill="1" applyFont="1" borderId="3" fillId="16" fontId="15" numFmtId="0" xfId="3">
      <alignment horizontal="right" vertical="center"/>
    </xf>
    <xf applyAlignment="1" applyBorder="1" applyFill="1" applyFont="1" borderId="13" fillId="16" fontId="15" numFmtId="0" xfId="3">
      <alignment horizontal="right" vertical="center"/>
    </xf>
    <xf applyAlignment="1" applyBorder="1" applyFill="1" applyFont="1" borderId="3" fillId="17" fontId="4" numFmtId="0" xfId="3">
      <alignment horizontal="left" vertical="center"/>
    </xf>
    <xf applyAlignment="1" applyBorder="1" applyFill="1" applyFont="1" borderId="0" fillId="17" fontId="4" numFmtId="0" xfId="3">
      <alignment horizontal="right" vertical="center"/>
    </xf>
    <xf applyAlignment="1" applyBorder="1" applyFill="1" applyFont="1" applyNumberFormat="1" borderId="3" fillId="17" fontId="4" numFmtId="6" xfId="3">
      <alignment horizontal="right" vertical="center"/>
    </xf>
    <xf applyAlignment="1" applyBorder="1" applyFill="1" applyFont="1" applyNumberFormat="1" borderId="3" fillId="17" fontId="4" numFmtId="8" xfId="3">
      <alignment horizontal="center" vertical="center"/>
    </xf>
    <xf applyAlignment="1" applyBorder="1" applyFill="1" applyFont="1" applyNumberFormat="1" borderId="10" fillId="17" fontId="4" numFmtId="6" xfId="3">
      <alignment horizontal="center" vertical="center"/>
    </xf>
    <xf applyAlignment="1" applyBorder="1" applyFill="1" applyFont="1" applyNumberFormat="1" borderId="3" fillId="17" fontId="4" numFmtId="8" xfId="3">
      <alignment horizontal="right" vertical="center"/>
    </xf>
    <xf applyAlignment="1" applyBorder="1" applyFill="1" applyFont="1" applyNumberFormat="1" borderId="13" fillId="17" fontId="4" numFmtId="164" xfId="3">
      <alignment horizontal="right" vertical="center"/>
    </xf>
    <xf applyAlignment="1" applyBorder="1" applyFill="1" applyFont="1" borderId="5" fillId="17" fontId="4" numFmtId="0" xfId="3">
      <alignment horizontal="right" vertical="center"/>
    </xf>
    <xf applyAlignment="1" applyBorder="1" applyFill="1" applyFont="1" borderId="13" fillId="17" fontId="4" numFmtId="0" xfId="3">
      <alignment horizontal="right" vertical="center"/>
    </xf>
    <xf applyAlignment="1" applyBorder="1" applyFill="1" applyFont="1" borderId="3" fillId="17" fontId="4" numFmtId="0" xfId="3">
      <alignment horizontal="right" vertical="center"/>
    </xf>
    <xf applyAlignment="1" applyBorder="1" applyFill="1" borderId="10" fillId="18" fontId="1" numFmtId="0" xfId="3">
      <alignment horizontal="right" vertical="center"/>
    </xf>
    <xf applyAlignment="1" applyBorder="1" applyFill="1" borderId="5" fillId="5" fontId="0" numFmtId="0" xfId="0">
      <alignment horizontal="left" vertical="center"/>
    </xf>
    <xf applyAlignment="1" applyBorder="1" applyFill="1" applyFont="1" applyNumberFormat="1" borderId="0" fillId="2" fontId="17" numFmtId="3" xfId="4">
      <alignment horizontal="right" vertical="center"/>
    </xf>
    <xf applyAlignment="1" applyBorder="1" applyFill="1" applyFont="1" applyNumberFormat="1" borderId="5" fillId="2" fontId="1" numFmtId="9" xfId="4">
      <alignment horizontal="right" vertical="center"/>
    </xf>
    <xf applyAlignment="1" applyBorder="1" applyFill="1" applyNumberFormat="1" borderId="10" fillId="3" fontId="0" numFmtId="6" xfId="0">
      <alignment horizontal="right" vertical="center"/>
    </xf>
    <xf applyAlignment="1" applyBorder="1" applyFill="1" applyFont="1" applyNumberFormat="1" borderId="5" fillId="2" fontId="1" numFmtId="6" xfId="4">
      <alignment horizontal="right" vertical="center"/>
    </xf>
    <xf applyAlignment="1" applyBorder="1" applyFill="1" applyFont="1" applyNumberFormat="1" borderId="0" fillId="2" fontId="1" numFmtId="6" xfId="4">
      <alignment horizontal="right" vertical="center"/>
    </xf>
    <xf applyAlignment="1" applyBorder="1" applyFill="1" applyFont="1" applyNumberFormat="1" borderId="0" fillId="2" fontId="1" numFmtId="164" xfId="4">
      <alignment horizontal="right" vertical="center"/>
    </xf>
    <xf applyAlignment="1" applyBorder="1" applyFill="1" applyFont="1" applyNumberFormat="1" borderId="5" fillId="2" fontId="1" numFmtId="0" xfId="4">
      <alignment horizontal="right" vertical="center"/>
    </xf>
    <xf applyAlignment="1" applyBorder="1" applyFill="1" applyFont="1" applyNumberFormat="1" borderId="0" fillId="2" fontId="1" numFmtId="0" xfId="4">
      <alignment horizontal="right" vertical="center"/>
    </xf>
    <xf applyAlignment="1" applyBorder="1" applyFill="1" applyFont="1" applyNumberFormat="1" borderId="5" fillId="2" fontId="1" numFmtId="164" xfId="4">
      <alignment horizontal="right" vertical="center"/>
    </xf>
    <xf applyAlignment="1" applyBorder="1" applyFill="1" applyFont="1" applyNumberFormat="1" borderId="5" fillId="2" fontId="1" numFmtId="168" xfId="4">
      <alignment horizontal="right" vertical="center"/>
    </xf>
    <xf applyAlignment="1" applyBorder="1" applyFill="1" applyFont="1" applyNumberFormat="1" borderId="0" fillId="2" fontId="1" numFmtId="3" xfId="4">
      <alignment horizontal="right" vertical="center"/>
    </xf>
    <xf applyAlignment="1" applyFill="1" borderId="0" fillId="14" fontId="1" numFmtId="0" xfId="3">
      <alignment vertical="center"/>
    </xf>
    <xf applyAlignment="1" applyFill="1" applyNumberFormat="1" borderId="0" fillId="14" fontId="1" numFmtId="6" xfId="3">
      <alignment vertical="center"/>
    </xf>
    <xf applyAlignment="1" applyFill="1" applyNumberFormat="1" borderId="0" fillId="14" fontId="1" numFmtId="8" xfId="3">
      <alignment vertical="center"/>
    </xf>
    <xf applyAlignment="1" applyFill="1" applyNumberFormat="1" borderId="0" fillId="14" fontId="1" numFmtId="164" xfId="3">
      <alignment vertical="center"/>
    </xf>
    <xf applyAlignment="1" applyFill="1" applyNumberFormat="1" borderId="0" fillId="2" fontId="1" numFmtId="6" xfId="3">
      <alignment vertical="center"/>
    </xf>
    <xf applyAlignment="1" applyFill="1" applyNumberFormat="1" borderId="0" fillId="2" fontId="1" numFmtId="8" xfId="3">
      <alignment vertical="center"/>
    </xf>
    <xf applyAlignment="1" applyFill="1" applyNumberFormat="1" borderId="0" fillId="2" fontId="1" numFmtId="164" xfId="3">
      <alignment vertical="center"/>
    </xf>
    <xf applyAlignment="1" applyBorder="1" applyFill="1" borderId="18" fillId="18" fontId="1" numFmtId="0" xfId="3">
      <alignment horizontal="right" vertical="center"/>
    </xf>
    <xf applyAlignment="1" applyFill="1" applyFont="1" borderId="0" fillId="5" fontId="6" numFmtId="0" xfId="2">
      <alignment horizontal="right" vertical="center"/>
    </xf>
    <xf applyAlignment="1" applyFill="1" borderId="0" fillId="2" fontId="0" numFmtId="0" xfId="0">
      <alignment horizontal="right" vertical="center"/>
    </xf>
    <xf applyAlignment="1" applyBorder="1" applyFill="1" applyFont="1" borderId="0" fillId="3" fontId="6" numFmtId="0" xfId="2">
      <alignment vertical="center"/>
    </xf>
    <xf applyAlignment="1" applyBorder="1" applyFill="1" applyFont="1" borderId="0" fillId="3" fontId="6" numFmtId="0" xfId="2">
      <alignment horizontal="right" vertical="center"/>
    </xf>
    <xf applyAlignment="1" applyBorder="1" applyFill="1" applyFont="1" borderId="0" fillId="5" fontId="6" numFmtId="0" xfId="2">
      <alignment horizontal="right" vertical="center"/>
    </xf>
    <xf applyAlignment="1" applyBorder="1" applyFill="1" applyFont="1" borderId="0" fillId="3" fontId="0" numFmtId="0" xfId="0">
      <alignment vertical="center"/>
    </xf>
    <xf applyAlignment="1" applyBorder="1" applyFill="1" applyFont="1" borderId="3" fillId="4" fontId="9" numFmtId="0" xfId="0">
      <alignment vertical="center"/>
    </xf>
    <xf applyAlignment="1" applyBorder="1" applyFill="1" applyFont="1" borderId="12" fillId="4" fontId="9" numFmtId="0" xfId="0">
      <alignment vertical="center"/>
    </xf>
    <xf applyAlignment="1" applyBorder="1" applyFill="1" applyFont="1" borderId="13" fillId="4" fontId="9" numFmtId="0" xfId="0">
      <alignment horizontal="right" vertical="center"/>
    </xf>
    <xf applyAlignment="1" applyBorder="1" applyFill="1" applyFont="1" borderId="5" fillId="5" fontId="0" numFmtId="0" xfId="0">
      <alignment horizontal="right" vertical="center"/>
    </xf>
    <xf applyAlignment="1" applyBorder="1" applyFill="1" applyFont="1" borderId="1" fillId="13" fontId="10" numFmtId="0" xfId="0">
      <alignment horizontal="left" vertical="center"/>
    </xf>
    <xf applyAlignment="1" applyBorder="1" applyFill="1" applyFont="1" borderId="9" fillId="13" fontId="10" numFmtId="0" xfId="0">
      <alignment horizontal="right" vertical="center"/>
    </xf>
    <xf applyAlignment="1" applyBorder="1" applyFill="1" applyFont="1" borderId="11" fillId="13" fontId="10" numFmtId="0" xfId="0">
      <alignment horizontal="right" vertical="center"/>
    </xf>
    <xf applyAlignment="1" applyBorder="1" applyFill="1" applyFont="1" borderId="0" fillId="19" fontId="0" numFmtId="0" xfId="0">
      <alignment horizontal="right" vertical="center"/>
    </xf>
    <xf applyAlignment="1" applyBorder="1" applyFill="1" applyFont="1" borderId="10" fillId="20" fontId="0" numFmtId="0" xfId="0">
      <alignment horizontal="right" vertical="center"/>
    </xf>
    <xf applyAlignment="1" applyBorder="1" applyFill="1" applyFont="1" borderId="10" fillId="21" fontId="0" numFmtId="0" xfId="0">
      <alignment horizontal="right" vertical="center"/>
    </xf>
    <xf applyAlignment="1" applyBorder="1" applyFill="1" applyFont="1" borderId="10" fillId="3" fontId="18" numFmtId="0" xfId="0">
      <alignment horizontal="right" vertical="center"/>
    </xf>
    <xf applyAlignment="1" applyBorder="1" applyFill="1" applyFont="1" borderId="10" fillId="3" fontId="0" numFmtId="0" xfId="0">
      <alignment horizontal="right" vertical="center"/>
    </xf>
    <xf applyAlignment="1" applyBorder="1" applyFill="1" applyFont="1" applyNumberFormat="1" borderId="10" fillId="20" fontId="0" numFmtId="1" xfId="0">
      <alignment horizontal="right" vertical="center"/>
    </xf>
    <xf applyAlignment="1" applyBorder="1" applyFill="1" applyFont="1" applyNumberFormat="1" borderId="10" fillId="21" fontId="0" numFmtId="164" xfId="0">
      <alignment horizontal="right" vertical="center"/>
    </xf>
    <xf applyAlignment="1" applyBorder="1" applyFill="1" applyFont="1" applyNumberFormat="1" borderId="10" fillId="21" fontId="0" numFmtId="170" xfId="0">
      <alignment horizontal="right" vertical="center"/>
    </xf>
    <xf applyAlignment="1" applyBorder="1" applyFill="1" applyFont="1" applyNumberFormat="1" borderId="10" fillId="3" fontId="0" numFmtId="170" xfId="0">
      <alignment horizontal="right" vertical="center"/>
    </xf>
    <xf applyAlignment="1" applyBorder="1" applyFill="1" applyFont="1" applyNumberFormat="1" borderId="10" fillId="20" fontId="0" numFmtId="164" xfId="0">
      <alignment horizontal="right" vertical="center"/>
    </xf>
    <xf applyAlignment="1" applyBorder="1" applyFill="1" applyFont="1" borderId="7" fillId="3" fontId="0" numFmtId="0" xfId="0">
      <alignment horizontal="left" vertical="center"/>
    </xf>
    <xf applyAlignment="1" applyBorder="1" applyFill="1" applyFont="1" borderId="17" fillId="19" fontId="0" numFmtId="0" xfId="0">
      <alignment horizontal="right" vertical="center"/>
    </xf>
    <xf applyAlignment="1" applyBorder="1" applyFill="1" applyFont="1" applyNumberFormat="1" borderId="18" fillId="20" fontId="0" numFmtId="164" xfId="0">
      <alignment horizontal="right" vertical="center"/>
    </xf>
    <xf applyAlignment="1" applyBorder="1" applyFill="1" applyFont="1" applyNumberFormat="1" borderId="18" fillId="21" fontId="0" numFmtId="164" xfId="0">
      <alignment horizontal="right" vertical="center"/>
    </xf>
    <xf applyAlignment="1" applyBorder="1" applyFill="1" applyFont="1" applyNumberFormat="1" borderId="18" fillId="3" fontId="0" numFmtId="164" xfId="0">
      <alignment horizontal="right" vertical="center"/>
    </xf>
    <xf applyAlignment="1" applyBorder="1" applyFill="1" applyFont="1" applyNumberFormat="1" borderId="0" fillId="19" fontId="0" numFmtId="3" xfId="0">
      <alignment horizontal="right" vertical="center"/>
    </xf>
    <xf applyAlignment="1" applyBorder="1" applyFill="1" applyFont="1" applyNumberFormat="1" borderId="10" fillId="20" fontId="0" numFmtId="3" xfId="0">
      <alignment horizontal="right" vertical="center"/>
    </xf>
    <xf applyAlignment="1" applyBorder="1" applyFill="1" applyFont="1" applyNumberFormat="1" borderId="10" fillId="3" fontId="0" numFmtId="3" xfId="0">
      <alignment horizontal="right" vertical="center"/>
    </xf>
    <xf applyAlignment="1" applyBorder="1" applyFill="1" applyFont="1" applyNumberFormat="1" borderId="8" fillId="19" fontId="0" numFmtId="3" xfId="0">
      <alignment horizontal="right" vertical="center"/>
    </xf>
    <xf applyAlignment="1" applyBorder="1" applyFill="1" applyFont="1" applyNumberFormat="1" borderId="18" fillId="20" fontId="0" numFmtId="3" xfId="0">
      <alignment horizontal="right" vertical="center"/>
    </xf>
    <xf applyAlignment="1" applyBorder="1" applyFill="1" applyFont="1" applyNumberFormat="1" borderId="18" fillId="3" fontId="0" numFmtId="3" xfId="0">
      <alignment horizontal="right" vertical="center"/>
    </xf>
    <xf applyAlignment="1" applyBorder="1" applyFill="1" applyFont="1" applyNumberFormat="1" borderId="17" fillId="19" fontId="0" numFmtId="3" xfId="0">
      <alignment horizontal="right" vertical="center"/>
    </xf>
    <xf applyAlignment="1" applyBorder="1" applyFill="1" applyFont="1" applyNumberFormat="1" borderId="0" fillId="19" fontId="0" numFmtId="168" xfId="0">
      <alignment horizontal="right" vertical="center"/>
    </xf>
    <xf applyAlignment="1" applyBorder="1" applyFill="1" applyFont="1" applyNumberFormat="1" borderId="10" fillId="20" fontId="0" numFmtId="168" xfId="0">
      <alignment horizontal="right" vertical="center"/>
    </xf>
    <xf applyAlignment="1" applyBorder="1" applyFill="1" applyFont="1" applyNumberFormat="1" borderId="10" fillId="3" fontId="0" numFmtId="168" xfId="0">
      <alignment horizontal="right" vertical="center"/>
    </xf>
    <xf applyAlignment="1" applyBorder="1" applyFill="1" applyFont="1" applyNumberFormat="1" borderId="17" fillId="19" fontId="0" numFmtId="168" xfId="0">
      <alignment horizontal="right" vertical="center"/>
    </xf>
    <xf applyAlignment="1" applyBorder="1" applyFill="1" applyFont="1" applyNumberFormat="1" borderId="18" fillId="20" fontId="0" numFmtId="168" xfId="0">
      <alignment horizontal="right" vertical="center"/>
    </xf>
    <xf applyAlignment="1" applyBorder="1" applyFill="1" applyFont="1" applyNumberFormat="1" borderId="18" fillId="3" fontId="0" numFmtId="168" xfId="0">
      <alignment horizontal="right" vertical="center"/>
    </xf>
    <xf applyAlignment="1" applyBorder="1" applyFill="1" applyFont="1" applyNumberFormat="1" borderId="0" fillId="19" fontId="0" numFmtId="165" xfId="0">
      <alignment horizontal="right" vertical="center"/>
    </xf>
    <xf applyAlignment="1" applyBorder="1" applyFill="1" applyFont="1" applyNumberFormat="1" borderId="10" fillId="20" fontId="0" numFmtId="165" xfId="0">
      <alignment horizontal="right" vertical="center"/>
    </xf>
    <xf applyAlignment="1" applyBorder="1" applyFill="1" applyFont="1" applyNumberFormat="1" borderId="13" fillId="3" fontId="0" numFmtId="165" xfId="0">
      <alignment horizontal="right" vertical="center"/>
    </xf>
    <xf applyAlignment="1" applyBorder="1" applyFill="1" applyFont="1" applyNumberFormat="1" borderId="17" fillId="19" fontId="0" numFmtId="165" xfId="0">
      <alignment horizontal="right" vertical="center"/>
    </xf>
    <xf applyAlignment="1" applyBorder="1" applyFill="1" applyFont="1" applyNumberFormat="1" borderId="18" fillId="20" fontId="0" numFmtId="165" xfId="0">
      <alignment horizontal="right" vertical="center"/>
    </xf>
    <xf applyAlignment="1" applyBorder="1" applyFill="1" applyFont="1" applyNumberFormat="1" borderId="18" fillId="3" fontId="0" numFmtId="165" xfId="0">
      <alignment horizontal="right" vertical="center"/>
    </xf>
    <xf applyAlignment="1" applyBorder="1" applyFill="1" applyFont="1" borderId="0" fillId="3" fontId="0" numFmtId="0" xfId="0">
      <alignment horizontal="left" vertical="center"/>
    </xf>
    <xf applyAlignment="1" applyBorder="1" applyFill="1" applyFont="1" applyNumberFormat="1" borderId="0" fillId="3" fontId="0" numFmtId="165" xfId="0">
      <alignment horizontal="right" vertical="center"/>
    </xf>
    <xf applyAlignment="1" applyBorder="1" applyFill="1" applyFont="1" borderId="0" fillId="5" fontId="0" numFmtId="0" xfId="0">
      <alignment horizontal="right" vertical="center"/>
    </xf>
    <xf applyAlignment="1" applyBorder="1" applyFill="1" applyFont="1" borderId="0" fillId="3" fontId="0" numFmtId="0" xfId="0">
      <alignment horizontal="right" vertical="center"/>
    </xf>
    <xf applyAlignment="1" applyBorder="1" applyFill="1" borderId="0" fillId="2" fontId="0" numFmtId="0" xfId="0">
      <alignment horizontal="right" vertical="center"/>
    </xf>
    <xf applyAlignment="1" applyBorder="1" applyFill="1" applyFont="1" borderId="11" fillId="4" fontId="9" numFmtId="0" xfId="0">
      <alignment vertical="center"/>
    </xf>
    <xf applyAlignment="1" applyBorder="1" applyFill="1" applyFont="1" borderId="11" fillId="4" fontId="9" numFmtId="0" xfId="0">
      <alignment horizontal="right" vertical="center"/>
    </xf>
    <xf applyAlignment="1" applyBorder="1" applyFill="1" applyFont="1" borderId="10" fillId="22" fontId="10" numFmtId="0" xfId="0">
      <alignment horizontal="right" vertical="center"/>
    </xf>
    <xf applyAlignment="1" applyBorder="1" applyFill="1" applyFont="1" applyNumberFormat="1" borderId="9" fillId="4" fontId="9" numFmtId="3" xfId="0">
      <alignment vertical="center"/>
    </xf>
    <xf applyAlignment="1" applyBorder="1" applyFill="1" applyFont="1" borderId="5" fillId="23" fontId="10" numFmtId="0" xfId="0">
      <alignment horizontal="left" vertical="center"/>
    </xf>
    <xf applyAlignment="1" applyBorder="1" applyFill="1" applyFont="1" borderId="0" fillId="23" fontId="10" numFmtId="0" xfId="0">
      <alignment horizontal="right" vertical="center"/>
    </xf>
    <xf applyAlignment="1" applyBorder="1" applyFill="1" applyFont="1" borderId="3" fillId="23" fontId="10" numFmtId="0" xfId="0">
      <alignment horizontal="right" vertical="center"/>
    </xf>
    <xf applyAlignment="1" applyBorder="1" applyFill="1" applyFont="1" applyNumberFormat="1" borderId="3" fillId="23" fontId="10" numFmtId="3" xfId="0">
      <alignment horizontal="right" vertical="center"/>
    </xf>
    <xf applyAlignment="1" applyBorder="1" applyFill="1" applyFont="1" borderId="13" fillId="23" fontId="10" numFmtId="0" xfId="0">
      <alignment horizontal="right" vertical="center"/>
    </xf>
    <xf applyAlignment="1" applyBorder="1" applyFill="1" applyFont="1" applyNumberFormat="1" borderId="3" fillId="23" fontId="10" numFmtId="164" xfId="0">
      <alignment horizontal="right" vertical="center"/>
    </xf>
    <xf applyAlignment="1" applyBorder="1" applyFill="1" applyFont="1" applyNumberFormat="1" borderId="13" fillId="23" fontId="10" numFmtId="168" xfId="0">
      <alignment horizontal="right" vertical="center"/>
    </xf>
    <xf applyAlignment="1" applyBorder="1" applyFill="1" applyFont="1" applyNumberFormat="1" borderId="3" fillId="23" fontId="10" numFmtId="165" xfId="0">
      <alignment horizontal="right" vertical="center"/>
    </xf>
    <xf applyAlignment="1" applyBorder="1" applyFill="1" applyFont="1" applyNumberFormat="1" borderId="13" fillId="23" fontId="10" numFmtId="3" xfId="0">
      <alignment horizontal="right" vertical="center"/>
    </xf>
    <xf applyAlignment="1" applyBorder="1" applyFill="1" applyFont="1" applyNumberFormat="1" borderId="3" fillId="23" fontId="10" numFmtId="168" xfId="0">
      <alignment horizontal="right" vertical="center"/>
    </xf>
    <xf applyAlignment="1" applyBorder="1" applyFill="1" applyFont="1" applyNumberFormat="1" borderId="13" fillId="23" fontId="10" numFmtId="165" xfId="0">
      <alignment horizontal="right" vertical="center"/>
    </xf>
    <xf applyAlignment="1" applyBorder="1" applyFill="1" applyFont="1" borderId="5" fillId="3" fontId="0" numFmtId="0" xfId="0">
      <alignment horizontal="right" vertical="center"/>
    </xf>
    <xf applyAlignment="1" applyBorder="1" applyFill="1" applyFont="1" applyNumberFormat="1" borderId="5" fillId="3" fontId="0" numFmtId="3" xfId="0">
      <alignment horizontal="right" vertical="center"/>
    </xf>
    <xf applyAlignment="1" applyBorder="1" applyFill="1" applyFont="1" applyNumberFormat="1" borderId="10" fillId="3" fontId="0" numFmtId="10" xfId="0">
      <alignment horizontal="right" vertical="center"/>
    </xf>
    <xf applyAlignment="1" applyBorder="1" applyFill="1" applyFont="1" applyNumberFormat="1" borderId="5" fillId="3" fontId="0" numFmtId="165" xfId="0">
      <alignment horizontal="right" vertical="center"/>
    </xf>
    <xf applyAlignment="1" applyBorder="1" applyFill="1" applyFont="1" borderId="1" fillId="7" fontId="10" numFmtId="0" xfId="0">
      <alignment vertical="center"/>
    </xf>
    <xf applyAlignment="1" applyBorder="1" applyFill="1" applyFont="1" borderId="9" fillId="7" fontId="10" numFmtId="0" xfId="0">
      <alignment vertical="center"/>
    </xf>
    <xf applyAlignment="1" applyBorder="1" applyFill="1" applyFont="1" applyNumberFormat="1" borderId="11" fillId="7" fontId="10" numFmtId="1" xfId="0">
      <alignment vertical="center"/>
    </xf>
    <xf applyAlignment="1" applyBorder="1" applyFill="1" applyFont="1" applyNumberFormat="1" borderId="11" fillId="7" fontId="10" numFmtId="3" xfId="0">
      <alignment vertical="center"/>
    </xf>
    <xf applyAlignment="1" applyBorder="1" applyFill="1" applyFont="1" applyNumberFormat="1" borderId="11" fillId="14" fontId="10" numFmtId="170" xfId="0">
      <alignment horizontal="right" vertical="center"/>
    </xf>
    <xf applyAlignment="1" applyBorder="1" applyFill="1" applyFont="1" applyNumberFormat="1" borderId="1" fillId="7" fontId="10" numFmtId="164" xfId="0">
      <alignment vertical="center"/>
    </xf>
    <xf applyAlignment="1" applyBorder="1" applyFill="1" applyFont="1" borderId="11" fillId="7" fontId="10" numFmtId="0" xfId="0">
      <alignment vertical="center"/>
    </xf>
    <xf applyAlignment="1" applyBorder="1" applyFill="1" applyFont="1" applyNumberFormat="1" borderId="11" fillId="14" fontId="10" numFmtId="168" xfId="0">
      <alignment horizontal="right" vertical="center"/>
    </xf>
    <xf applyAlignment="1" applyBorder="1" applyFill="1" applyFont="1" applyNumberFormat="1" borderId="11" fillId="14" fontId="10" numFmtId="165" xfId="0">
      <alignment horizontal="right" vertical="center"/>
    </xf>
    <xf applyAlignment="1" applyFill="1" applyFont="1" borderId="0" fillId="3" fontId="29" numFmtId="0" xfId="0">
      <alignment vertical="center"/>
    </xf>
    <xf applyAlignment="1" applyBorder="1" applyFill="1" applyFont="1" borderId="1" fillId="7" fontId="28" numFmtId="0" xfId="0">
      <alignment vertical="center"/>
    </xf>
    <xf applyAlignment="1" applyBorder="1" applyFill="1" applyFont="1" borderId="9" fillId="7" fontId="28" numFmtId="0" xfId="0">
      <alignment vertical="center"/>
    </xf>
    <xf applyAlignment="1" applyBorder="1" applyFill="1" applyFont="1" applyNumberFormat="1" borderId="11" fillId="7" fontId="28" numFmtId="1" xfId="0">
      <alignment vertical="center"/>
    </xf>
    <xf applyAlignment="1" applyBorder="1" applyFill="1" applyFont="1" applyNumberFormat="1" borderId="11" fillId="7" fontId="28" numFmtId="3" xfId="0">
      <alignment vertical="center"/>
    </xf>
    <xf applyAlignment="1" applyBorder="1" applyFill="1" applyFont="1" applyNumberFormat="1" borderId="11" fillId="14" fontId="28" numFmtId="170" xfId="0">
      <alignment horizontal="right" vertical="center"/>
    </xf>
    <xf applyAlignment="1" applyBorder="1" applyFill="1" applyFont="1" applyNumberFormat="1" borderId="1" fillId="7" fontId="28" numFmtId="164" xfId="0">
      <alignment vertical="center"/>
    </xf>
    <xf applyAlignment="1" applyBorder="1" applyFill="1" applyFont="1" borderId="11" fillId="7" fontId="28" numFmtId="0" xfId="0">
      <alignment vertical="center"/>
    </xf>
    <xf applyAlignment="1" applyBorder="1" applyFill="1" applyFont="1" applyNumberFormat="1" borderId="11" fillId="14" fontId="28" numFmtId="168" xfId="0">
      <alignment horizontal="right" vertical="center"/>
    </xf>
    <xf applyAlignment="1" applyBorder="1" applyFill="1" applyFont="1" applyNumberFormat="1" borderId="11" fillId="14" fontId="28" numFmtId="165" xfId="0">
      <alignment horizontal="right" vertical="center"/>
    </xf>
    <xf applyAlignment="1" applyFill="1" applyFont="1" borderId="0" fillId="2" fontId="29" numFmtId="0" xfId="0">
      <alignment vertical="center"/>
    </xf>
    <xf applyAlignment="1" applyBorder="1" applyFill="1" applyFont="1" applyNumberFormat="1" borderId="0" fillId="3" fontId="6" numFmtId="168" xfId="2">
      <alignment vertical="center"/>
    </xf>
    <xf applyAlignment="1" applyBorder="1" applyFill="1" applyFont="1" applyNumberFormat="1" borderId="0" fillId="3" fontId="6" numFmtId="164" xfId="2">
      <alignment vertical="center"/>
    </xf>
    <xf applyAlignment="1" applyBorder="1" applyFill="1" applyFont="1" applyNumberFormat="1" borderId="0" fillId="3" fontId="0" numFmtId="164" xfId="0">
      <alignment vertical="center"/>
    </xf>
    <xf applyAlignment="1" applyBorder="1" applyFill="1" applyFont="1" applyNumberFormat="1" borderId="0" fillId="3" fontId="9" numFmtId="168" xfId="0">
      <alignment vertical="center"/>
    </xf>
    <xf applyAlignment="1" applyBorder="1" applyFill="1" applyFont="1" applyNumberFormat="1" borderId="0" fillId="3" fontId="9" numFmtId="10" xfId="0">
      <alignment vertical="center"/>
    </xf>
    <xf applyAlignment="1" applyBorder="1" applyFill="1" applyFont="1" borderId="0" fillId="24" fontId="9" numFmtId="0" xfId="0">
      <alignment horizontal="left" vertical="center"/>
    </xf>
    <xf applyAlignment="1" applyBorder="1" applyFill="1" applyFont="1" applyNumberFormat="1" borderId="0" fillId="24" fontId="9" numFmtId="168" xfId="0">
      <alignment horizontal="right" vertical="center"/>
    </xf>
    <xf applyAlignment="1" applyBorder="1" applyFill="1" applyFont="1" applyNumberFormat="1" borderId="0" fillId="24" fontId="9" numFmtId="165" xfId="0">
      <alignment horizontal="right" vertical="center"/>
    </xf>
    <xf applyAlignment="1" applyBorder="1" applyFill="1" applyFont="1" applyNumberFormat="1" borderId="0" fillId="24" fontId="9" numFmtId="10" xfId="0">
      <alignment horizontal="right" vertical="center"/>
    </xf>
    <xf applyAlignment="1" applyBorder="1" applyFill="1" applyFont="1" applyNumberFormat="1" borderId="0" fillId="24" fontId="9" numFmtId="164" xfId="1">
      <alignment horizontal="right" vertical="center"/>
    </xf>
    <xf applyAlignment="1" applyBorder="1" applyFill="1" applyFont="1" applyNumberFormat="1" borderId="0" fillId="3" fontId="0" numFmtId="168" xfId="0">
      <alignment horizontal="right" vertical="center"/>
    </xf>
    <xf applyAlignment="1" applyBorder="1" applyFill="1" applyFont="1" applyNumberFormat="1" borderId="0" fillId="3" fontId="0" numFmtId="10" xfId="0">
      <alignment horizontal="right" vertical="center"/>
    </xf>
    <xf applyAlignment="1" applyBorder="1" applyFill="1" applyFont="1" applyNumberFormat="1" borderId="0" fillId="3" fontId="19" numFmtId="164" xfId="1">
      <alignment horizontal="right" vertical="center"/>
    </xf>
    <xf applyAlignment="1" applyBorder="1" applyFill="1" applyFont="1" borderId="0" fillId="3" fontId="10" numFmtId="0" xfId="0">
      <alignment horizontal="left" vertical="center"/>
    </xf>
    <xf applyAlignment="1" applyBorder="1" applyFill="1" applyFont="1" applyNumberFormat="1" borderId="0" fillId="3" fontId="10" numFmtId="168" xfId="0">
      <alignment horizontal="right" vertical="center"/>
    </xf>
    <xf applyAlignment="1" applyBorder="1" applyFill="1" applyFont="1" applyNumberFormat="1" borderId="0" fillId="3" fontId="10" numFmtId="165" xfId="0">
      <alignment horizontal="right" vertical="center"/>
    </xf>
    <xf applyAlignment="1" applyBorder="1" applyFill="1" applyFont="1" applyNumberFormat="1" borderId="0" fillId="3" fontId="10" numFmtId="10" xfId="0">
      <alignment horizontal="right" vertical="center"/>
    </xf>
    <xf applyAlignment="1" applyBorder="1" applyFill="1" applyFont="1" borderId="17" fillId="3" fontId="0" numFmtId="0" xfId="0">
      <alignment horizontal="left" vertical="center"/>
    </xf>
    <xf applyAlignment="1" applyBorder="1" applyFill="1" applyFont="1" applyNumberFormat="1" borderId="17" fillId="3" fontId="0" numFmtId="168" xfId="0">
      <alignment horizontal="right" vertical="center"/>
    </xf>
    <xf applyAlignment="1" applyBorder="1" applyFill="1" applyFont="1" applyNumberFormat="1" borderId="17" fillId="3" fontId="0" numFmtId="165" xfId="0">
      <alignment horizontal="right" vertical="center"/>
    </xf>
    <xf applyAlignment="1" applyBorder="1" applyFill="1" applyFont="1" applyNumberFormat="1" borderId="17" fillId="3" fontId="0" numFmtId="10" xfId="0">
      <alignment horizontal="right" vertical="center"/>
    </xf>
    <xf applyAlignment="1" applyBorder="1" applyFill="1" applyFont="1" applyNumberFormat="1" borderId="17" fillId="3" fontId="19" numFmtId="164" xfId="1">
      <alignment horizontal="right" vertical="center"/>
    </xf>
    <xf applyAlignment="1" applyBorder="1" applyFill="1" applyFont="1" applyNumberFormat="1" borderId="0" fillId="3" fontId="0" numFmtId="168" xfId="0">
      <alignment vertical="center"/>
    </xf>
    <xf applyAlignment="1" applyBorder="1" applyFill="1" applyFont="1" applyNumberFormat="1" borderId="0" fillId="3" fontId="0" numFmtId="10" xfId="0">
      <alignment vertical="center"/>
    </xf>
    <xf applyAlignment="1" applyBorder="1" applyFill="1" applyFont="1" borderId="0" fillId="25" fontId="9" numFmtId="0" xfId="0">
      <alignment horizontal="left" vertical="center"/>
    </xf>
    <xf applyAlignment="1" applyBorder="1" applyFill="1" applyFont="1" applyNumberFormat="1" borderId="0" fillId="25" fontId="9" numFmtId="168" xfId="0">
      <alignment horizontal="right" vertical="center"/>
    </xf>
    <xf applyAlignment="1" applyBorder="1" applyFill="1" applyFont="1" applyNumberFormat="1" borderId="0" fillId="25" fontId="9" numFmtId="165" xfId="0">
      <alignment horizontal="right" vertical="center"/>
    </xf>
    <xf applyAlignment="1" applyBorder="1" applyFill="1" applyFont="1" applyNumberFormat="1" borderId="0" fillId="25" fontId="9" numFmtId="10" xfId="0">
      <alignment horizontal="right" vertical="center"/>
    </xf>
    <xf applyAlignment="1" applyBorder="1" applyFill="1" applyFont="1" applyNumberFormat="1" borderId="0" fillId="25" fontId="9" numFmtId="164" xfId="1">
      <alignment horizontal="right" vertical="center"/>
    </xf>
    <xf applyAlignment="1" applyBorder="1" applyFill="1" applyFont="1" borderId="0" fillId="3" fontId="20" numFmtId="0" xfId="0">
      <alignment vertical="center"/>
    </xf>
    <xf applyAlignment="1" applyBorder="1" applyFill="1" applyFont="1" applyNumberFormat="1" borderId="0" fillId="25" fontId="9" numFmtId="164" xfId="0">
      <alignment horizontal="right" vertical="center"/>
    </xf>
    <xf applyAlignment="1" applyBorder="1" applyFill="1" applyFont="1" borderId="0" fillId="26" fontId="9" numFmtId="0" xfId="0">
      <alignment horizontal="left" vertical="center"/>
    </xf>
    <xf applyAlignment="1" applyBorder="1" applyFill="1" applyFont="1" applyNumberFormat="1" borderId="0" fillId="26" fontId="9" numFmtId="168" xfId="0">
      <alignment horizontal="right" vertical="center"/>
    </xf>
    <xf applyAlignment="1" applyBorder="1" applyFill="1" applyFont="1" applyNumberFormat="1" borderId="0" fillId="26" fontId="9" numFmtId="165" xfId="0">
      <alignment horizontal="right" vertical="center"/>
    </xf>
    <xf applyAlignment="1" applyBorder="1" applyFill="1" applyFont="1" applyNumberFormat="1" borderId="0" fillId="26" fontId="9" numFmtId="10" xfId="0">
      <alignment horizontal="right" vertical="center"/>
    </xf>
    <xf applyAlignment="1" applyBorder="1" applyFill="1" applyFont="1" applyNumberFormat="1" borderId="0" fillId="26" fontId="9" numFmtId="164" xfId="0">
      <alignment horizontal="right" vertical="center"/>
    </xf>
    <xf applyAlignment="1" applyBorder="1" applyFill="1" applyFont="1" borderId="0" fillId="4" fontId="9" numFmtId="0" xfId="0">
      <alignment horizontal="left" vertical="center"/>
    </xf>
    <xf applyAlignment="1" applyBorder="1" applyFill="1" applyFont="1" applyNumberFormat="1" borderId="0" fillId="4" fontId="9" numFmtId="168" xfId="0">
      <alignment horizontal="right" vertical="center"/>
    </xf>
    <xf applyAlignment="1" applyBorder="1" applyFill="1" applyFont="1" applyNumberFormat="1" borderId="0" fillId="4" fontId="9" numFmtId="165" xfId="0">
      <alignment horizontal="right" vertical="center"/>
    </xf>
    <xf applyAlignment="1" applyBorder="1" applyFill="1" applyFont="1" applyNumberFormat="1" borderId="0" fillId="4" fontId="9" numFmtId="4" xfId="0">
      <alignment horizontal="right" vertical="center"/>
    </xf>
    <xf applyAlignment="1" applyBorder="1" applyFill="1" applyFont="1" applyNumberFormat="1" borderId="0" fillId="4" fontId="9" numFmtId="164" xfId="0">
      <alignment horizontal="right" vertical="center"/>
    </xf>
    <xf applyAlignment="1" applyBorder="1" applyFill="1" applyFont="1" applyNumberFormat="1" borderId="0" fillId="3" fontId="0" numFmtId="10" xfId="0">
      <alignment horizontal="left" vertical="center"/>
    </xf>
    <xf applyAlignment="1" applyBorder="1" applyFill="1" applyFont="1" applyNumberFormat="1" borderId="0" fillId="3" fontId="0" numFmtId="4" xfId="0">
      <alignment horizontal="right" vertical="center"/>
    </xf>
    <xf applyAlignment="1" applyBorder="1" applyFill="1" applyFont="1" applyNumberFormat="1" borderId="0" fillId="19" fontId="0" numFmtId="10" xfId="0">
      <alignment horizontal="left" vertical="center"/>
    </xf>
    <xf applyAlignment="1" applyBorder="1" applyFill="1" applyFont="1" borderId="0" fillId="19" fontId="0" numFmtId="0" xfId="0">
      <alignment vertical="center"/>
    </xf>
    <xf applyAlignment="1" applyBorder="1" applyFill="1" applyFont="1" applyNumberFormat="1" borderId="0" fillId="19" fontId="0" numFmtId="4" xfId="0">
      <alignment horizontal="right" vertical="center"/>
    </xf>
    <xf applyAlignment="1" applyBorder="1" applyFill="1" applyFont="1" applyNumberFormat="1" borderId="0" fillId="19" fontId="0" numFmtId="10" xfId="0">
      <alignment vertical="center"/>
    </xf>
    <xf applyAlignment="1" applyBorder="1" applyFill="1" applyFont="1" applyNumberFormat="1" borderId="0" fillId="19" fontId="19" numFmtId="164" xfId="1">
      <alignment horizontal="right" vertical="center"/>
    </xf>
    <xf applyAlignment="1" applyBorder="1" applyFill="1" applyFont="1" borderId="1" fillId="2" fontId="31" numFmtId="0" xfId="3">
      <alignment vertical="center"/>
    </xf>
    <xf applyAlignment="1" applyBorder="1" applyFill="1" applyFont="1" borderId="9" fillId="2" fontId="31" numFmtId="0" xfId="3">
      <alignment vertical="center"/>
    </xf>
    <xf applyAlignment="1" applyBorder="1" applyFill="1" applyFont="1" applyNumberFormat="1" borderId="2" fillId="2" fontId="32" numFmtId="3" xfId="3">
      <alignment vertical="center"/>
    </xf>
    <xf applyAlignment="1" applyBorder="1" applyFill="1" applyFont="1" borderId="1" fillId="16" fontId="2" numFmtId="0" xfId="3">
      <alignment vertical="center"/>
    </xf>
    <xf applyAlignment="1" applyBorder="1" applyFill="1" applyFont="1" borderId="9" fillId="16" fontId="5" numFmtId="0" xfId="3">
      <alignment vertical="center"/>
    </xf>
    <xf applyAlignment="1" applyBorder="1" applyFill="1" applyFont="1" borderId="2" fillId="16" fontId="5" numFmtId="0" xfId="3">
      <alignment horizontal="right" vertical="center"/>
    </xf>
    <xf applyAlignment="1" applyBorder="1" applyFill="1" applyFont="1" borderId="0" fillId="2" fontId="2" numFmtId="0" xfId="3">
      <alignment vertical="center"/>
    </xf>
    <xf applyAlignment="1" applyBorder="1" applyFill="1" applyFont="1" borderId="0" fillId="2" fontId="5" numFmtId="0" xfId="3">
      <alignment vertical="center"/>
    </xf>
    <xf applyAlignment="1" applyBorder="1" applyFill="1" applyFont="1" borderId="0" fillId="2" fontId="5" numFmtId="0" xfId="3">
      <alignment horizontal="right" vertical="center"/>
    </xf>
    <xf applyAlignment="1" applyBorder="1" applyFill="1" borderId="1" fillId="2" fontId="1" numFmtId="0" xfId="3">
      <alignment vertical="center"/>
    </xf>
    <xf applyAlignment="1" applyBorder="1" applyFill="1" borderId="9" fillId="2" fontId="1" numFmtId="0" xfId="3">
      <alignment vertical="center"/>
    </xf>
    <xf applyAlignment="1" applyBorder="1" applyFill="1" applyFont="1" borderId="2" fillId="2" fontId="21" numFmtId="0" xfId="3">
      <alignment horizontal="right" vertical="center"/>
    </xf>
    <xf applyAlignment="1" applyBorder="1" applyFill="1" borderId="3" fillId="2" fontId="1" numFmtId="0" xfId="3">
      <alignment vertical="center"/>
    </xf>
    <xf applyAlignment="1" applyBorder="1" applyFill="1" borderId="12" fillId="2" fontId="1" numFmtId="0" xfId="3">
      <alignment vertical="center"/>
    </xf>
    <xf applyAlignment="1" applyBorder="1" applyFill="1" applyFont="1" applyNumberFormat="1" borderId="4" fillId="2" fontId="21" numFmtId="9" xfId="3">
      <alignment vertical="center"/>
    </xf>
    <xf applyAlignment="1" applyBorder="1" applyFill="1" applyFont="1" borderId="0" fillId="2" fontId="1" numFmtId="0" xfId="3">
      <alignment vertical="center"/>
    </xf>
    <xf applyAlignment="1" applyBorder="1" applyFill="1" applyFont="1" applyNumberFormat="1" borderId="0" fillId="2" fontId="21" numFmtId="168" xfId="3">
      <alignment horizontal="right" vertical="center"/>
    </xf>
    <xf applyAlignment="1" applyBorder="1" applyFill="1" applyFont="1" applyNumberFormat="1" borderId="0" fillId="2" fontId="17" numFmtId="3" xfId="3">
      <alignment vertical="center"/>
    </xf>
    <xf applyAlignment="1" applyBorder="1" applyFill="1" applyFont="1" borderId="6" fillId="2" fontId="21" numFmtId="0" xfId="3">
      <alignment vertical="center"/>
    </xf>
    <xf applyAlignment="1" applyBorder="1" applyFill="1" applyFont="1" applyNumberFormat="1" borderId="6" fillId="2" fontId="21" numFmtId="4" xfId="3">
      <alignment vertical="center"/>
    </xf>
    <xf applyAlignment="1" applyBorder="1" applyFill="1" applyFont="1" applyNumberFormat="1" borderId="0" fillId="2" fontId="21" numFmtId="10" xfId="3">
      <alignment horizontal="right" vertical="center"/>
    </xf>
    <xf applyAlignment="1" applyBorder="1" applyFill="1" applyFont="1" applyNumberFormat="1" borderId="6" fillId="2" fontId="21" numFmtId="164" xfId="3">
      <alignment vertical="center"/>
    </xf>
    <xf applyAlignment="1" applyBorder="1" applyFill="1" applyFont="1" applyNumberFormat="1" borderId="6" fillId="2" fontId="21" numFmtId="10" xfId="3">
      <alignment vertical="center"/>
    </xf>
    <xf applyAlignment="1" applyBorder="1" applyFill="1" borderId="0" fillId="2" fontId="1" numFmtId="0" xfId="3">
      <alignment horizontal="right" vertical="center"/>
    </xf>
    <xf applyAlignment="1" applyBorder="1" applyFill="1" applyFont="1" applyNumberFormat="1" borderId="0" fillId="2" fontId="21" numFmtId="168" xfId="3">
      <alignment vertical="center"/>
    </xf>
    <xf applyAlignment="1" applyBorder="1" applyFill="1" borderId="7" fillId="2" fontId="1" numFmtId="0" xfId="3">
      <alignment vertical="center"/>
    </xf>
    <xf applyAlignment="1" applyBorder="1" applyFill="1" borderId="17" fillId="2" fontId="1" numFmtId="0" xfId="3">
      <alignment vertical="center"/>
    </xf>
    <xf applyAlignment="1" applyBorder="1" applyFill="1" applyFont="1" applyNumberFormat="1" borderId="8" fillId="2" fontId="21" numFmtId="164" xfId="3">
      <alignment vertical="center"/>
    </xf>
    <xf applyAlignment="1" applyBorder="1" applyFill="1" applyNumberFormat="1" borderId="6" fillId="2" fontId="1" numFmtId="3" xfId="3">
      <alignment vertical="center"/>
    </xf>
    <xf applyAlignment="1" applyBorder="1" applyFill="1" applyNumberFormat="1" borderId="0" fillId="2" fontId="1" numFmtId="3" xfId="3">
      <alignment vertical="center"/>
    </xf>
    <xf applyAlignment="1" applyBorder="1" applyFill="1" applyFont="1" borderId="5" fillId="2" fontId="0" numFmtId="0" xfId="3">
      <alignment vertical="center"/>
    </xf>
    <xf applyAlignment="1" applyBorder="1" applyFill="1" applyFont="1" borderId="7" fillId="2" fontId="0" numFmtId="0" xfId="3">
      <alignment vertical="center"/>
    </xf>
    <xf applyAlignment="1" applyBorder="1" applyFill="1" applyNumberFormat="1" borderId="8" fillId="2" fontId="1" numFmtId="3" xfId="3">
      <alignment vertical="center"/>
    </xf>
    <xf applyAlignment="1" applyBorder="1" applyFill="1" applyNumberFormat="1" borderId="4" fillId="2" fontId="1" numFmtId="3" xfId="3">
      <alignment vertical="center"/>
    </xf>
    <xf applyAlignment="1" applyBorder="1" applyFill="1" applyFont="1" applyNumberFormat="1" borderId="0" fillId="2" fontId="21" numFmtId="10" xfId="3">
      <alignment vertical="center"/>
    </xf>
    <xf applyAlignment="1" applyBorder="1" applyFill="1" applyFont="1" applyNumberFormat="1" borderId="6" fillId="2" fontId="17" numFmtId="3" xfId="3">
      <alignment vertical="center"/>
    </xf>
    <xf applyAlignment="1" applyBorder="1" applyFill="1" applyNumberFormat="1" borderId="17" fillId="2" fontId="1" numFmtId="10" xfId="3">
      <alignment vertical="center"/>
    </xf>
    <xf applyAlignment="1" applyBorder="1" applyFill="1" applyNumberFormat="1" borderId="0" fillId="2" fontId="1" numFmtId="10" xfId="3">
      <alignment vertical="center"/>
    </xf>
    <xf applyAlignment="1" applyBorder="1" applyFill="1" applyFont="1" applyNumberFormat="1" borderId="6" fillId="2" fontId="17" numFmtId="164" xfId="3">
      <alignment vertical="center"/>
    </xf>
    <xf applyAlignment="1" applyBorder="1" applyFill="1" applyFont="1" borderId="0" fillId="2" fontId="4" numFmtId="0" xfId="3">
      <alignment vertical="center"/>
    </xf>
    <xf applyAlignment="1" applyBorder="1" applyFill="1" applyFont="1" applyNumberFormat="1" borderId="0" fillId="2" fontId="4" numFmtId="3" xfId="3">
      <alignment vertical="center"/>
    </xf>
    <xf applyAlignment="1" applyBorder="1" applyFill="1" applyFont="1" applyNumberFormat="1" borderId="8" fillId="2" fontId="17" numFmtId="164" xfId="3">
      <alignment vertical="center"/>
    </xf>
    <xf applyAlignment="1" applyBorder="1" applyFill="1" applyNumberFormat="1" borderId="8" fillId="2" fontId="1" numFmtId="10" xfId="3">
      <alignment vertical="center"/>
    </xf>
    <xf applyAlignment="1" applyBorder="1" applyFill="1" borderId="19" fillId="2" fontId="1" numFmtId="0" xfId="3">
      <alignment vertical="center"/>
    </xf>
    <xf applyAlignment="1" applyBorder="1" applyFill="1" applyFont="1" borderId="0" fillId="27" fontId="2" numFmtId="0" xfId="3">
      <alignment horizontal="left" vertical="center"/>
    </xf>
    <xf applyAlignment="1" applyBorder="1" applyFill="1" applyFont="1" borderId="0" fillId="27" fontId="2" numFmtId="0" xfId="3">
      <alignment horizontal="right" vertical="center"/>
    </xf>
    <xf applyAlignment="1" applyBorder="1" applyFill="1" applyFont="1" borderId="5" fillId="27" fontId="2" numFmtId="0" xfId="3">
      <alignment horizontal="right" vertical="center"/>
    </xf>
    <xf applyAlignment="1" applyBorder="1" applyFill="1" applyFont="1" borderId="0" fillId="2" fontId="23" numFmtId="0" xfId="3">
      <alignment horizontal="left" vertical="center"/>
    </xf>
    <xf applyAlignment="1" applyBorder="1" applyFill="1" applyFont="1" applyNumberFormat="1" borderId="5" fillId="2" fontId="1" numFmtId="3" xfId="3">
      <alignment horizontal="right" vertical="center"/>
    </xf>
    <xf applyAlignment="1" applyBorder="1" applyFill="1" applyNumberFormat="1" borderId="0" fillId="2" fontId="1" numFmtId="3" xfId="3">
      <alignment horizontal="right" vertical="center"/>
    </xf>
    <xf applyAlignment="1" applyBorder="1" applyFill="1" applyFont="1" applyNumberFormat="1" borderId="5" fillId="27" fontId="2" numFmtId="3" xfId="3">
      <alignment horizontal="right" vertical="center"/>
    </xf>
    <xf applyAlignment="1" applyBorder="1" applyFill="1" applyFont="1" applyNumberFormat="1" borderId="0" fillId="27" fontId="2" numFmtId="3" xfId="3">
      <alignment horizontal="right" vertical="center"/>
    </xf>
    <xf applyAlignment="1" applyFill="1" applyFont="1" borderId="0" fillId="33" fontId="9" numFmtId="0" xfId="2">
      <alignment horizontal="left" vertical="center"/>
    </xf>
    <xf applyAlignment="1" applyBorder="1" applyFill="1" applyFont="1" borderId="0" fillId="34" fontId="2" numFmtId="0" xfId="3">
      <alignment horizontal="left" vertical="center"/>
    </xf>
    <xf applyAlignment="1" applyBorder="1" applyFill="1" applyFont="1" applyNumberFormat="1" borderId="0" fillId="34" fontId="2" numFmtId="3" xfId="3">
      <alignment horizontal="right" vertical="center"/>
    </xf>
    <xf applyAlignment="1" applyBorder="1" applyFill="1" applyFont="1" applyNumberFormat="1" borderId="5" fillId="33" fontId="9" numFmtId="171" xfId="0">
      <alignment horizontal="right" vertical="center"/>
    </xf>
    <xf applyAlignment="1" applyBorder="1" applyFill="1" applyFont="1" borderId="0" fillId="2" fontId="29" numFmtId="0" xfId="3">
      <alignment vertical="center"/>
    </xf>
    <xf applyAlignment="1" applyBorder="1" applyFill="1" applyFont="1" borderId="0" fillId="32" fontId="9" numFmtId="0" xfId="0">
      <alignment horizontal="left" vertical="center"/>
    </xf>
    <xf applyAlignment="1" applyBorder="1" applyFill="1" applyFont="1" applyNumberFormat="1" borderId="0" fillId="30" fontId="2" numFmtId="3" xfId="3">
      <alignment horizontal="right" vertical="center"/>
    </xf>
    <xf applyAlignment="1" applyBorder="1" applyFill="1" applyNumberFormat="1" borderId="19" fillId="2" fontId="1" numFmtId="8" xfId="3">
      <alignment vertical="center"/>
    </xf>
    <xf applyAlignment="1" applyBorder="1" applyFill="1" applyFont="1" borderId="0" fillId="31" fontId="2" numFmtId="0" xfId="3">
      <alignment vertical="center"/>
    </xf>
    <xf applyAlignment="1" applyBorder="1" applyFill="1" applyFont="1" borderId="0" fillId="31" fontId="4" numFmtId="0" xfId="3">
      <alignment vertical="center"/>
    </xf>
    <xf applyAlignment="1" applyBorder="1" applyFill="1" applyFont="1" borderId="0" fillId="31" fontId="2" numFmtId="0" xfId="3">
      <alignment horizontal="right" vertical="center"/>
    </xf>
    <xf applyAlignment="1" applyBorder="1" applyFill="1" applyFont="1" borderId="5" fillId="31" fontId="2" numFmtId="0" xfId="3">
      <alignment horizontal="right" vertical="center"/>
    </xf>
    <xf applyAlignment="1" applyBorder="1" applyFill="1" applyNumberFormat="1" borderId="5" fillId="2" fontId="1" numFmtId="3" xfId="3">
      <alignment vertical="center"/>
    </xf>
    <xf applyAlignment="1" applyBorder="1" applyFill="1" applyFont="1" borderId="0" fillId="2" fontId="0" numFmtId="0" xfId="3">
      <alignment vertical="center"/>
    </xf>
    <xf applyAlignment="1" applyBorder="1" applyFill="1" applyFont="1" applyNumberFormat="1" borderId="0" fillId="31" fontId="2" numFmtId="3" xfId="3">
      <alignment vertical="center"/>
    </xf>
    <xf applyAlignment="1" applyBorder="1" applyFill="1" applyFont="1" applyNumberFormat="1" borderId="5" fillId="31" fontId="2" numFmtId="3" xfId="3">
      <alignment vertical="center"/>
    </xf>
    <xf applyAlignment="1" applyBorder="1" applyFill="1" applyFont="1" borderId="3" fillId="31" fontId="2" numFmtId="0" xfId="3">
      <alignment vertical="center"/>
    </xf>
    <xf applyAlignment="1" applyBorder="1" applyFill="1" applyFont="1" borderId="4" fillId="31" fontId="2" numFmtId="0" xfId="3">
      <alignment vertical="center"/>
    </xf>
    <xf applyAlignment="1" applyBorder="1" applyFill="1" applyFont="1" borderId="5" fillId="2" fontId="4" numFmtId="0" xfId="3">
      <alignment vertical="center"/>
    </xf>
    <xf applyAlignment="1" applyBorder="1" applyFill="1" applyFont="1" applyNumberFormat="1" borderId="6" fillId="2" fontId="4" numFmtId="3" xfId="3">
      <alignment vertical="center"/>
    </xf>
    <xf applyAlignment="1" applyBorder="1" applyFill="1" applyFont="1" applyNumberFormat="1" borderId="6" fillId="2" fontId="4" numFmtId="4" xfId="3">
      <alignment vertical="center"/>
    </xf>
    <xf applyAlignment="1" applyBorder="1" applyFill="1" applyFont="1" applyNumberFormat="1" borderId="6" fillId="2" fontId="4" numFmtId="10" xfId="3">
      <alignment vertical="center"/>
    </xf>
    <xf applyAlignment="1" applyBorder="1" applyFill="1" applyFont="1" borderId="7" fillId="2" fontId="4" numFmtId="0" xfId="3">
      <alignment vertical="center"/>
    </xf>
    <xf applyAlignment="1" applyBorder="1" applyFill="1" applyFont="1" applyNumberFormat="1" borderId="8" fillId="2" fontId="4" numFmtId="10" xfId="3">
      <alignment vertical="center"/>
    </xf>
    <xf applyAlignment="1" applyBorder="1" applyFill="1" applyFont="1" borderId="0" fillId="35" fontId="2" numFmtId="0" xfId="3">
      <alignment vertical="center"/>
    </xf>
    <xf applyAlignment="1" applyBorder="1" applyFill="1" applyFont="1" borderId="0" fillId="35" fontId="4" numFmtId="0" xfId="3">
      <alignment vertical="center"/>
    </xf>
    <xf applyAlignment="1" applyBorder="1" applyFill="1" applyFont="1" borderId="0" fillId="35" fontId="2" numFmtId="0" xfId="3">
      <alignment horizontal="right" vertical="center"/>
    </xf>
    <xf applyAlignment="1" applyBorder="1" applyFill="1" applyFont="1" borderId="5" fillId="35" fontId="2" numFmtId="0" xfId="3">
      <alignment horizontal="right" vertical="center"/>
    </xf>
    <xf applyAlignment="1" applyBorder="1" applyFill="1" applyFont="1" applyNumberFormat="1" borderId="0" fillId="35" fontId="2" numFmtId="3" xfId="3">
      <alignment vertical="center"/>
    </xf>
    <xf applyAlignment="1" applyBorder="1" applyFill="1" applyFont="1" applyNumberFormat="1" borderId="5" fillId="35" fontId="2" numFmtId="3" xfId="3">
      <alignment vertical="center"/>
    </xf>
    <xf applyAlignment="1" applyBorder="1" applyFill="1" applyFont="1" borderId="3" fillId="35" fontId="2" numFmtId="0" xfId="3">
      <alignment vertical="center"/>
    </xf>
    <xf applyAlignment="1" applyBorder="1" applyFill="1" applyFont="1" borderId="4" fillId="35" fontId="2" numFmtId="0" xfId="3">
      <alignment vertical="center"/>
    </xf>
    <xf applyAlignment="1" applyBorder="1" applyFill="1" borderId="0" fillId="28" fontId="1" numFmtId="0" xfId="3">
      <alignment vertical="center"/>
    </xf>
    <xf applyAlignment="1" applyBorder="1" applyFill="1" applyFont="1" borderId="0" fillId="28" fontId="2" numFmtId="0" xfId="3">
      <alignment horizontal="right" vertical="center"/>
    </xf>
    <xf applyAlignment="1" applyBorder="1" applyFill="1" applyFont="1" borderId="5" fillId="28" fontId="2" numFmtId="0" xfId="3">
      <alignment horizontal="right" vertical="center"/>
    </xf>
    <xf applyAlignment="1" applyBorder="1" applyFill="1" applyFont="1" applyNumberFormat="1" borderId="5" fillId="2" fontId="4" numFmtId="3" xfId="3">
      <alignment vertical="center"/>
    </xf>
    <xf applyAlignment="1" applyBorder="1" applyFill="1" applyFont="1" borderId="0" fillId="2" fontId="22" numFmtId="0" xfId="3">
      <alignment vertical="center"/>
    </xf>
    <xf applyAlignment="1" applyBorder="1" applyFill="1" applyFont="1" applyNumberFormat="1" borderId="0" fillId="2" fontId="22" numFmtId="3" xfId="3">
      <alignment vertical="center"/>
    </xf>
    <xf applyAlignment="1" applyBorder="1" applyFill="1" applyFont="1" applyNumberFormat="1" borderId="5" fillId="2" fontId="22" numFmtId="3" xfId="3">
      <alignment vertical="center"/>
    </xf>
    <xf applyAlignment="1" applyBorder="1" applyFill="1" applyFont="1" applyNumberFormat="1" borderId="0" fillId="2" fontId="2" numFmtId="3" xfId="3">
      <alignment vertical="center"/>
    </xf>
    <xf applyAlignment="1" applyBorder="1" applyFill="1" applyFont="1" applyNumberFormat="1" borderId="12" fillId="2" fontId="22" numFmtId="3" xfId="3">
      <alignment horizontal="right" vertical="center"/>
    </xf>
    <xf applyAlignment="1" applyBorder="1" applyFill="1" applyFont="1" applyNumberFormat="1" borderId="13" fillId="2" fontId="22" numFmtId="3" xfId="3">
      <alignment horizontal="right" vertical="center"/>
    </xf>
    <xf applyAlignment="1" applyBorder="1" applyFill="1" applyFont="1" applyNumberFormat="1" borderId="4" fillId="2" fontId="22" numFmtId="3" xfId="3">
      <alignment horizontal="right" vertical="center"/>
    </xf>
    <xf applyAlignment="1" applyBorder="1" applyFill="1" applyFont="1" applyNumberFormat="1" borderId="0" fillId="2" fontId="22" numFmtId="3" xfId="3">
      <alignment horizontal="right" vertical="center"/>
    </xf>
    <xf applyAlignment="1" applyBorder="1" applyFill="1" applyFont="1" applyNumberFormat="1" borderId="10" fillId="2" fontId="22" numFmtId="3" xfId="3">
      <alignment horizontal="right" vertical="center"/>
    </xf>
    <xf applyAlignment="1" applyBorder="1" applyFill="1" applyFont="1" applyNumberFormat="1" borderId="6" fillId="2" fontId="22" numFmtId="3" xfId="3">
      <alignment horizontal="right" vertical="center"/>
    </xf>
    <xf applyAlignment="1" applyBorder="1" applyFill="1" applyFont="1" applyNumberFormat="1" borderId="0" fillId="2" fontId="22" numFmtId="4" xfId="3">
      <alignment horizontal="right" vertical="center"/>
    </xf>
    <xf applyAlignment="1" applyBorder="1" applyFill="1" applyFont="1" applyNumberFormat="1" borderId="10" fillId="2" fontId="22" numFmtId="4" xfId="3">
      <alignment horizontal="right" vertical="center"/>
    </xf>
    <xf applyAlignment="1" applyBorder="1" applyFill="1" applyFont="1" applyNumberFormat="1" borderId="6" fillId="2" fontId="22" numFmtId="4" xfId="3">
      <alignment horizontal="right" vertical="center"/>
    </xf>
    <xf applyAlignment="1" applyBorder="1" applyFill="1" applyFont="1" applyNumberFormat="1" borderId="0" fillId="2" fontId="22" numFmtId="10" xfId="3">
      <alignment horizontal="right" vertical="center"/>
    </xf>
    <xf applyAlignment="1" applyBorder="1" applyFill="1" applyFont="1" applyNumberFormat="1" borderId="10" fillId="2" fontId="22" numFmtId="10" xfId="3">
      <alignment horizontal="right" vertical="center"/>
    </xf>
    <xf applyAlignment="1" applyBorder="1" applyFill="1" applyFont="1" applyNumberFormat="1" borderId="6" fillId="2" fontId="22" numFmtId="10" xfId="3">
      <alignment horizontal="right" vertical="center"/>
    </xf>
    <xf applyAlignment="1" applyBorder="1" applyFill="1" applyFont="1" applyNumberFormat="1" borderId="17" fillId="2" fontId="22" numFmtId="10" xfId="3">
      <alignment horizontal="right" vertical="center"/>
    </xf>
    <xf applyAlignment="1" applyBorder="1" applyFill="1" applyFont="1" applyNumberFormat="1" borderId="18" fillId="2" fontId="22" numFmtId="10" xfId="3">
      <alignment horizontal="right" vertical="center"/>
    </xf>
    <xf applyAlignment="1" applyBorder="1" applyFill="1" applyFont="1" applyNumberFormat="1" borderId="8" fillId="2" fontId="22" numFmtId="10" xfId="3">
      <alignment horizontal="right" vertical="center"/>
    </xf>
    <xf applyAlignment="1" applyBorder="1" applyFill="1" applyFont="1" borderId="0" fillId="2" fontId="17" numFmtId="0" xfId="3">
      <alignment vertical="center"/>
    </xf>
    <xf applyAlignment="1" applyBorder="1" applyFill="1" applyFont="1" borderId="0" fillId="2" fontId="17" numFmtId="0" xfId="3">
      <alignment horizontal="right" vertical="center"/>
    </xf>
    <xf applyAlignment="1" applyBorder="1" applyFill="1" applyFont="1" borderId="0" fillId="2" fontId="1" numFmtId="0" xfId="6">
      <alignment vertical="center"/>
    </xf>
    <xf applyAlignment="1" applyBorder="1" applyFill="1" applyFont="1" applyNumberFormat="1" borderId="1" fillId="36" fontId="9" numFmtId="168" xfId="0">
      <alignment horizontal="left"/>
    </xf>
    <xf applyAlignment="1" applyBorder="1" applyFill="1" applyFont="1" applyNumberFormat="1" borderId="9" fillId="36" fontId="9" numFmtId="168" xfId="0">
      <alignment horizontal="right"/>
    </xf>
    <xf applyAlignment="1" applyBorder="1" applyFill="1" applyFont="1" applyNumberFormat="1" borderId="2" fillId="36" fontId="9" numFmtId="168" xfId="0">
      <alignment horizontal="right"/>
    </xf>
    <xf applyAlignment="1" applyBorder="1" applyFill="1" applyFont="1" borderId="1" fillId="2" fontId="4" numFmtId="0" xfId="6">
      <alignment vertical="center"/>
    </xf>
    <xf applyAlignment="1" applyBorder="1" applyFill="1" applyFont="1" borderId="9" fillId="2" fontId="4" numFmtId="0" xfId="6">
      <alignment vertical="center"/>
    </xf>
    <xf applyAlignment="1" applyBorder="1" applyFill="1" applyFont="1" applyNumberFormat="1" borderId="2" fillId="2" fontId="4" numFmtId="168" xfId="6">
      <alignment horizontal="right" vertical="center"/>
    </xf>
    <xf applyAlignment="1" applyBorder="1" applyFill="1" applyFont="1" applyNumberFormat="1" borderId="1" fillId="36" fontId="9" numFmtId="168" xfId="0">
      <alignment horizontal="right"/>
    </xf>
    <xf applyAlignment="1" applyBorder="1" applyFill="1" applyFont="1" applyNumberFormat="1" borderId="11" fillId="36" fontId="9" numFmtId="168" xfId="0">
      <alignment horizontal="right"/>
    </xf>
    <xf applyAlignment="1" applyBorder="1" applyFill="1" applyFont="1" applyNumberFormat="1" borderId="1" fillId="2" fontId="4" numFmtId="168" xfId="6">
      <alignment horizontal="left" vertical="center"/>
    </xf>
    <xf applyAlignment="1" applyBorder="1" applyFill="1" applyFont="1" borderId="0" fillId="2" fontId="0" numFmtId="0" xfId="0">
      <alignment horizontal="right" vertical="center"/>
    </xf>
    <xf applyAlignment="1" applyFill="1" applyFont="1" applyNumberFormat="1" borderId="0" fillId="2" fontId="0" numFmtId="164" xfId="0">
      <alignment vertical="center"/>
    </xf>
    <xf applyAlignment="1" applyBorder="1" applyFill="1" applyFont="1" applyNumberFormat="1" borderId="10" fillId="2" fontId="0" numFmtId="164" xfId="6">
      <alignment horizontal="right" vertical="center"/>
    </xf>
    <xf applyAlignment="1" applyBorder="1" applyFill="1" applyFont="1" applyNumberFormat="1" borderId="18" fillId="2" fontId="0" numFmtId="164" xfId="6">
      <alignment horizontal="right" vertical="center"/>
    </xf>
    <xf applyAlignment="1" applyBorder="1" applyFill="1" applyFont="1" applyNumberFormat="1" borderId="0" fillId="2" fontId="0" numFmtId="164" xfId="0">
      <alignment vertical="center"/>
    </xf>
    <xf applyAlignment="1" applyBorder="1" applyFill="1" applyFont="1" applyNumberFormat="1" borderId="11" fillId="2" fontId="4" numFmtId="164" xfId="6">
      <alignment horizontal="right" vertical="center"/>
    </xf>
    <xf applyAlignment="1" applyBorder="1" applyFill="1" applyFont="1" applyNumberFormat="1" borderId="9" fillId="2" fontId="4" numFmtId="3" xfId="6">
      <alignment horizontal="right" vertical="center"/>
    </xf>
    <xf applyAlignment="1" applyBorder="1" applyFill="1" applyFont="1" applyNumberFormat="1" borderId="1" fillId="2" fontId="11" numFmtId="168" xfId="6">
      <alignment horizontal="left" vertical="center"/>
    </xf>
    <xf applyAlignment="1" applyBorder="1" applyFill="1" applyFont="1" applyNumberFormat="1" borderId="9" fillId="2" fontId="11" numFmtId="3" xfId="6">
      <alignment horizontal="right" vertical="center"/>
    </xf>
    <xf applyAlignment="1" applyBorder="1" applyFill="1" applyFont="1" applyNumberFormat="1" borderId="1" fillId="2" fontId="11" numFmtId="168" xfId="6">
      <alignment horizontal="right" vertical="center"/>
    </xf>
    <xf applyAlignment="1" applyBorder="1" applyFill="1" applyFont="1" applyNumberFormat="1" borderId="1" fillId="2" fontId="11" numFmtId="164" xfId="6">
      <alignment horizontal="right" vertical="center"/>
    </xf>
    <xf applyAlignment="1" applyBorder="1" applyFill="1" applyFont="1" applyNumberFormat="1" borderId="11" fillId="2" fontId="11" numFmtId="164" xfId="6">
      <alignment horizontal="right" vertical="center"/>
    </xf>
    <xf applyAlignment="1" applyBorder="1" applyFill="1" applyFont="1" applyNumberFormat="1" borderId="11" fillId="2" fontId="4" numFmtId="3" xfId="6">
      <alignment horizontal="right" vertical="center"/>
    </xf>
    <xf applyAlignment="1" applyBorder="1" applyFill="1" applyFont="1" applyNumberFormat="1" borderId="6" fillId="2" fontId="21" numFmtId="164" xfId="3">
      <alignment horizontal="right" vertical="center"/>
    </xf>
    <xf applyAlignment="1" applyBorder="1" applyFill="1" applyFont="1" applyNumberFormat="1" borderId="8" fillId="2" fontId="21" numFmtId="164" xfId="3">
      <alignment horizontal="right" vertical="center"/>
    </xf>
    <xf applyAlignment="1" applyFill="1" borderId="0" fillId="2" fontId="0" numFmtId="0" xfId="0">
      <alignment horizontal="left" vertical="center"/>
    </xf>
    <xf applyAlignment="1" applyBorder="1" applyFill="1" applyFont="1" borderId="1" fillId="3" fontId="18" numFmtId="0" xfId="0">
      <alignment horizontal="left" vertical="center"/>
    </xf>
    <xf applyAlignment="1" applyBorder="1" applyFill="1" applyFont="1" applyNumberFormat="1" borderId="9" fillId="19" fontId="18" numFmtId="165" xfId="0">
      <alignment horizontal="right" vertical="center"/>
    </xf>
    <xf applyAlignment="1" applyBorder="1" applyFill="1" applyFont="1" applyNumberFormat="1" borderId="11" fillId="20" fontId="4" numFmtId="165" xfId="0">
      <alignment horizontal="right" vertical="center"/>
    </xf>
    <xf applyAlignment="1" applyBorder="1" applyFill="1" applyFont="1" applyNumberFormat="1" borderId="11" fillId="21" fontId="4" numFmtId="164" xfId="0">
      <alignment horizontal="right" vertical="center"/>
    </xf>
    <xf applyAlignment="1" applyBorder="1" applyFill="1" applyFont="1" applyNumberFormat="1" borderId="11" fillId="3" fontId="18" numFmtId="167" xfId="0">
      <alignment horizontal="right"/>
    </xf>
    <xf applyAlignment="1" applyBorder="1" applyFill="1" applyFont="1" borderId="5" fillId="3" fontId="18" numFmtId="0" xfId="0">
      <alignment horizontal="left" vertical="center"/>
    </xf>
    <xf applyAlignment="1" applyBorder="1" applyFill="1" applyFont="1" applyNumberFormat="1" borderId="0" fillId="19" fontId="18" numFmtId="168" xfId="0">
      <alignment horizontal="right" vertical="center"/>
    </xf>
    <xf applyAlignment="1" applyBorder="1" applyFill="1" applyFont="1" applyNumberFormat="1" borderId="10" fillId="20" fontId="4" numFmtId="168" xfId="0">
      <alignment horizontal="right" vertical="center"/>
    </xf>
    <xf applyAlignment="1" applyBorder="1" applyFill="1" applyFont="1" applyNumberFormat="1" borderId="10" fillId="21" fontId="4" numFmtId="164" xfId="0">
      <alignment horizontal="right" vertical="center"/>
    </xf>
    <xf applyAlignment="1" applyBorder="1" applyFill="1" applyFont="1" applyNumberFormat="1" borderId="11" fillId="3" fontId="18" numFmtId="3" xfId="0">
      <alignment horizontal="right"/>
    </xf>
    <xf applyAlignment="1" applyBorder="1" applyFill="1" applyFont="1" applyNumberFormat="1" borderId="0" fillId="19" fontId="18" numFmtId="3" xfId="0">
      <alignment horizontal="right" vertical="center"/>
    </xf>
    <xf applyAlignment="1" applyBorder="1" applyFill="1" applyFont="1" applyNumberFormat="1" borderId="10" fillId="20" fontId="4" numFmtId="3" xfId="0">
      <alignment horizontal="right" vertical="center"/>
    </xf>
    <xf applyAlignment="1" applyBorder="1" applyFill="1" applyFont="1" applyNumberFormat="1" borderId="11" fillId="3" fontId="18" numFmtId="3" xfId="0">
      <alignment horizontal="right" vertical="center"/>
    </xf>
    <xf applyAlignment="1" applyBorder="1" applyFill="1" applyFont="1" borderId="0" fillId="19" fontId="18" numFmtId="0" xfId="0">
      <alignment horizontal="right" vertical="center"/>
    </xf>
    <xf applyAlignment="1" applyBorder="1" applyFill="1" applyFont="1" applyNumberFormat="1" borderId="10" fillId="20" fontId="4" numFmtId="164" xfId="0">
      <alignment horizontal="right" vertical="center"/>
    </xf>
    <xf applyAlignment="1" applyBorder="1" applyFill="1" applyFont="1" applyNumberFormat="1" borderId="10" fillId="21" fontId="18" numFmtId="164" xfId="0">
      <alignment horizontal="right" vertical="center"/>
    </xf>
    <xf applyAlignment="1" applyBorder="1" applyFill="1" applyFont="1" applyNumberFormat="1" borderId="10" fillId="3" fontId="18" numFmtId="164" xfId="0">
      <alignment horizontal="right" vertical="center"/>
    </xf>
    <xf applyAlignment="1" applyFill="1" applyNumberFormat="1" borderId="0" fillId="2" fontId="0" numFmtId="168" xfId="0">
      <alignment horizontal="right"/>
    </xf>
    <xf applyAlignment="1" applyFill="1" applyNumberFormat="1" borderId="0" fillId="2" fontId="0" numFmtId="0" xfId="0">
      <alignment horizontal="right"/>
    </xf>
    <xf applyAlignment="1" applyFill="1" applyNumberFormat="1" borderId="0" fillId="2" fontId="0" numFmtId="3" xfId="0">
      <alignment horizontal="right"/>
    </xf>
    <xf applyAlignment="1" applyFill="1" borderId="0" fillId="2" fontId="0" numFmtId="0" xfId="0">
      <alignment horizontal="left"/>
    </xf>
    <xf applyAlignment="1" applyBorder="1" applyFill="1" applyFont="1" applyNumberFormat="1" borderId="9" fillId="36" fontId="9" numFmtId="0" xfId="0">
      <alignment horizontal="right"/>
    </xf>
    <xf applyAlignment="1" applyBorder="1" applyFill="1" applyFont="1" applyNumberFormat="1" borderId="9" fillId="36" fontId="9" numFmtId="3" xfId="0">
      <alignment horizontal="right"/>
    </xf>
    <xf applyAlignment="1" applyBorder="1" applyFill="1" applyFont="1" borderId="1" fillId="36" fontId="9" numFmtId="0" xfId="0">
      <alignment horizontal="left"/>
    </xf>
    <xf applyAlignment="1" applyBorder="1" applyFill="1" applyNumberFormat="1" borderId="0" fillId="5" fontId="0" numFmtId="3" xfId="0">
      <alignment horizontal="right"/>
    </xf>
    <xf applyAlignment="1" applyBorder="1" applyFill="1" applyNumberFormat="1" borderId="0" fillId="5" fontId="0" numFmtId="168" xfId="0">
      <alignment horizontal="right"/>
    </xf>
    <xf applyAlignment="1" applyBorder="1" applyFill="1" applyNumberFormat="1" borderId="0" fillId="5" fontId="0" numFmtId="0" xfId="0">
      <alignment horizontal="right"/>
    </xf>
    <xf applyAlignment="1" applyBorder="1" applyFill="1" borderId="0" fillId="5" fontId="0" numFmtId="0" xfId="0">
      <alignment horizontal="left"/>
    </xf>
    <xf applyAlignment="1" applyBorder="1" applyFill="1" applyFont="1" borderId="5" fillId="23" fontId="0" numFmtId="0" xfId="0">
      <alignment vertical="center"/>
    </xf>
    <xf applyAlignment="1" applyBorder="1" applyFill="1" applyFont="1" borderId="5" fillId="7" fontId="0" numFmtId="0" xfId="0">
      <alignment vertical="center"/>
    </xf>
    <xf applyAlignment="1" applyBorder="1" applyFill="1" borderId="5" fillId="2" fontId="0" numFmtId="0" xfId="0">
      <alignment vertical="center"/>
    </xf>
    <xf applyAlignment="1" applyBorder="1" applyFill="1" applyFont="1" applyNumberFormat="1" borderId="5" fillId="7" fontId="10" numFmtId="165" xfId="0">
      <alignment horizontal="right" vertical="center"/>
    </xf>
    <xf applyBorder="1" applyFill="1" borderId="0" fillId="2" fontId="0" numFmtId="0" xfId="0"/>
    <xf applyAlignment="1" applyBorder="1" applyFill="1" applyFont="1" applyNumberFormat="1" borderId="3" fillId="37" fontId="10" numFmtId="0" xfId="0">
      <alignment horizontal="right"/>
    </xf>
    <xf applyAlignment="1" applyBorder="1" applyFill="1" applyFont="1" applyNumberFormat="1" borderId="3" fillId="37" fontId="10" numFmtId="3" xfId="0">
      <alignment horizontal="right"/>
    </xf>
    <xf applyAlignment="1" applyBorder="1" applyFill="1" applyFont="1" applyNumberFormat="1" borderId="13" fillId="37" fontId="10" numFmtId="3" xfId="0">
      <alignment horizontal="right"/>
    </xf>
    <xf applyAlignment="1" applyBorder="1" applyFill="1" applyFont="1" applyNumberFormat="1" borderId="3" fillId="37" fontId="10" numFmtId="168" xfId="0">
      <alignment horizontal="right"/>
    </xf>
    <xf applyAlignment="1" applyBorder="1" applyFill="1" applyFont="1" borderId="5" fillId="37" fontId="10" numFmtId="0" xfId="0">
      <alignment horizontal="left"/>
    </xf>
    <xf applyAlignment="1" applyBorder="1" applyFill="1" applyFont="1" borderId="5" fillId="3" fontId="0" numFmtId="0" xfId="0">
      <alignment horizontal="left"/>
    </xf>
    <xf applyAlignment="1" applyBorder="1" applyFill="1" applyFont="1" borderId="0" fillId="2" fontId="1" numFmtId="0" xfId="6">
      <alignment horizontal="right" vertical="center"/>
    </xf>
    <xf applyAlignment="1" applyFill="1" applyFont="1" borderId="0" fillId="2" fontId="1" numFmtId="0" xfId="6">
      <alignment vertical="center"/>
    </xf>
    <xf applyAlignment="1" applyBorder="1" applyFill="1" applyFont="1" borderId="0" fillId="2" fontId="1" numFmtId="0" xfId="6">
      <alignment horizontal="left" vertical="center"/>
    </xf>
    <xf applyAlignment="1" applyFill="1" applyFont="1" borderId="0" fillId="2" fontId="1" numFmtId="0" xfId="6">
      <alignment horizontal="right" vertical="center"/>
    </xf>
    <xf applyAlignment="1" applyBorder="1" applyFill="1" applyNumberFormat="1" borderId="0" fillId="2" fontId="0" numFmtId="168" xfId="0">
      <alignment horizontal="left" vertical="top" wrapText="1"/>
    </xf>
    <xf applyAlignment="1" applyBorder="1" applyFill="1" applyFont="1" applyNumberFormat="1" borderId="11" fillId="36" fontId="9" numFmtId="165" xfId="0">
      <alignment horizontal="right"/>
    </xf>
    <xf applyAlignment="1" applyBorder="1" applyFill="1" applyFont="1" applyNumberFormat="1" borderId="11" fillId="2" fontId="4" numFmtId="165" xfId="6">
      <alignment vertical="center"/>
    </xf>
    <xf applyAlignment="1" applyBorder="1" applyFill="1" applyFont="1" applyNumberFormat="1" borderId="0" fillId="2" fontId="1" numFmtId="10" xfId="6">
      <alignment horizontal="right" vertical="center"/>
    </xf>
    <xf applyAlignment="1" applyBorder="1" applyFill="1" applyFont="1" borderId="7" fillId="2" fontId="0" numFmtId="0" xfId="6">
      <alignment vertical="center"/>
    </xf>
    <xf applyAlignment="1" applyBorder="1" applyFill="1" applyFont="1" applyNumberFormat="1" borderId="11" fillId="13" fontId="10" numFmtId="165" xfId="0">
      <alignment horizontal="center" vertical="center"/>
    </xf>
    <xf applyAlignment="1" applyBorder="1" applyFill="1" applyFont="1" applyNumberFormat="1" borderId="11" fillId="13" fontId="10" numFmtId="168" xfId="0">
      <alignment horizontal="center" vertical="center"/>
    </xf>
    <xf applyAlignment="1" applyFill="1" applyFont="1" applyNumberFormat="1" borderId="0" fillId="2" fontId="0" numFmtId="168" xfId="3">
      <alignment vertical="center"/>
    </xf>
    <xf applyAlignment="1" applyBorder="1" applyFill="1" applyNumberFormat="1" borderId="0" fillId="2" fontId="0" numFmtId="168" xfId="0">
      <alignment vertical="top" wrapText="1"/>
    </xf>
    <xf applyAlignment="1" applyBorder="1" applyFill="1" applyFont="1" applyNumberFormat="1" borderId="0" fillId="3" fontId="6" numFmtId="165" xfId="2">
      <alignment horizontal="right" vertical="center"/>
    </xf>
    <xf applyAlignment="1" applyBorder="1" applyFill="1" applyFont="1" applyNumberFormat="1" borderId="0" fillId="3" fontId="9" numFmtId="165" xfId="0">
      <alignment horizontal="right" vertical="center"/>
    </xf>
    <xf applyAlignment="1" applyBorder="1" applyFill="1" applyFont="1" applyNumberFormat="1" borderId="0" fillId="2" fontId="29" numFmtId="10" xfId="3">
      <alignment vertical="center"/>
    </xf>
    <xf applyAlignment="1" applyFill="1" applyFont="1" borderId="0" fillId="2" fontId="0" numFmtId="0" xfId="3">
      <alignment vertical="center"/>
    </xf>
    <xf applyAlignment="1" applyBorder="1" applyFill="1" applyFont="1" borderId="0" fillId="2" fontId="17" numFmtId="0" xfId="0">
      <alignment vertical="center"/>
    </xf>
    <xf applyAlignment="1" applyBorder="1" applyFill="1" applyFont="1" applyNumberFormat="1" borderId="0" fillId="2" fontId="17" numFmtId="168" xfId="0">
      <alignment vertical="center"/>
    </xf>
    <xf applyAlignment="1" applyBorder="1" applyFill="1" applyFont="1" applyNumberFormat="1" borderId="0" fillId="2" fontId="17" numFmtId="164" xfId="0">
      <alignment vertical="center"/>
    </xf>
    <xf applyAlignment="1" applyBorder="1" applyFill="1" applyFont="1" applyNumberFormat="1" borderId="11" fillId="36" fontId="9" numFmtId="168" xfId="0">
      <alignment horizontal="left"/>
    </xf>
    <xf applyAlignment="1" applyBorder="1" applyFill="1" borderId="7" fillId="3" fontId="0" numFmtId="0" xfId="0">
      <alignment horizontal="left" vertical="center"/>
    </xf>
    <xf applyAlignment="1" applyBorder="1" applyFill="1" applyNumberFormat="1" borderId="18" fillId="3" fontId="0" numFmtId="3" xfId="0">
      <alignment horizontal="right" vertical="center"/>
    </xf>
    <xf applyAlignment="1" applyBorder="1" applyFill="1" applyFont="1" borderId="11" fillId="2" fontId="4" numFmtId="0" xfId="0">
      <alignment vertical="center"/>
    </xf>
    <xf applyAlignment="1" applyBorder="1" applyFill="1" applyFont="1" applyNumberFormat="1" borderId="11" fillId="2" fontId="4" numFmtId="3" xfId="0">
      <alignment vertical="center"/>
    </xf>
    <xf applyAlignment="1" applyFill="1" applyFont="1" borderId="0" fillId="2" fontId="33" numFmtId="0" xfId="6">
      <alignment vertical="center"/>
    </xf>
    <xf applyAlignment="1" applyFill="1" applyNumberFormat="1" borderId="0" fillId="3" fontId="0" numFmtId="165" xfId="0">
      <alignment vertical="center"/>
    </xf>
    <xf applyAlignment="1" applyBorder="1" applyFill="1" applyNumberFormat="1" borderId="13" fillId="3" fontId="0" numFmtId="168" xfId="0">
      <alignment horizontal="right" vertical="center"/>
    </xf>
    <xf applyAlignment="1" applyBorder="1" applyFill="1" applyNumberFormat="1" borderId="18" fillId="3" fontId="0" numFmtId="168" xfId="0">
      <alignment horizontal="right" vertical="center"/>
    </xf>
    <xf applyAlignment="1" applyBorder="1" applyFill="1" applyFont="1" applyNumberFormat="1" borderId="11" fillId="2" fontId="4" numFmtId="168" xfId="0">
      <alignment vertical="center"/>
    </xf>
    <xf applyAlignment="1" applyFill="1" borderId="0" fillId="3" fontId="0" numFmtId="0" xfId="0">
      <alignment horizontal="left" vertical="center"/>
    </xf>
    <xf applyAlignment="1" applyFill="1" applyNumberFormat="1" borderId="0" fillId="3" fontId="0" numFmtId="167" xfId="0">
      <alignment horizontal="right" vertical="center"/>
    </xf>
    <xf applyAlignment="1" applyFill="1" borderId="0" fillId="2" fontId="1" numFmtId="0" xfId="6">
      <alignment vertical="center"/>
    </xf>
    <xf applyAlignment="1" applyBorder="1" applyFill="1" borderId="5" fillId="2" fontId="1" numFmtId="0" xfId="6">
      <alignment vertical="center"/>
    </xf>
    <xf applyAlignment="1" applyBorder="1" applyFill="1" applyNumberFormat="1" borderId="6" fillId="2" fontId="1" numFmtId="168" xfId="6">
      <alignment horizontal="right" vertical="center"/>
    </xf>
    <xf applyAlignment="1" applyFill="1" applyNumberFormat="1" borderId="0" fillId="2" fontId="1" numFmtId="168" xfId="6">
      <alignment vertical="center"/>
    </xf>
    <xf applyAlignment="1" applyBorder="1" applyFill="1" applyNumberFormat="1" borderId="10" fillId="2" fontId="1" numFmtId="165" xfId="6">
      <alignment vertical="center"/>
    </xf>
    <xf applyAlignment="1" applyBorder="1" applyFill="1" borderId="7" fillId="2" fontId="1" numFmtId="0" xfId="6">
      <alignment vertical="center"/>
    </xf>
    <xf applyAlignment="1" applyBorder="1" applyFill="1" borderId="17" fillId="2" fontId="1" numFmtId="0" xfId="6">
      <alignment vertical="center"/>
    </xf>
    <xf applyAlignment="1" applyBorder="1" applyFill="1" applyNumberFormat="1" borderId="8" fillId="2" fontId="1" numFmtId="168" xfId="6">
      <alignment horizontal="right" vertical="center"/>
    </xf>
    <xf applyAlignment="1" applyBorder="1" applyFill="1" applyNumberFormat="1" borderId="18" fillId="2" fontId="1" numFmtId="165" xfId="6">
      <alignment vertical="center"/>
    </xf>
    <xf applyAlignment="1" applyFill="1" applyNumberFormat="1" borderId="0" fillId="2" fontId="1" numFmtId="165" xfId="6">
      <alignment vertical="center"/>
    </xf>
    <xf applyAlignment="1" applyBorder="1" applyFill="1" applyNumberFormat="1" borderId="7" fillId="2" fontId="1" numFmtId="1" xfId="6">
      <alignment vertical="center"/>
    </xf>
    <xf applyAlignment="1" applyBorder="1" applyFill="1" borderId="9" fillId="2" fontId="1" numFmtId="0" xfId="6">
      <alignment vertical="center"/>
    </xf>
    <xf applyAlignment="1" applyBorder="1" applyFill="1" borderId="3" fillId="2" fontId="1" numFmtId="0" xfId="6">
      <alignment vertical="center"/>
    </xf>
    <xf applyAlignment="1" applyBorder="1" applyFill="1" borderId="12" fillId="2" fontId="1" numFmtId="0" xfId="6">
      <alignment vertical="center"/>
    </xf>
    <xf applyAlignment="1" applyBorder="1" applyFill="1" applyNumberFormat="1" borderId="12" fillId="2" fontId="1" numFmtId="168" xfId="6">
      <alignment horizontal="right" vertical="center"/>
    </xf>
    <xf applyAlignment="1" applyBorder="1" applyFill="1" applyNumberFormat="1" borderId="3" fillId="2" fontId="1" numFmtId="168" xfId="6">
      <alignment horizontal="right" vertical="center"/>
    </xf>
    <xf applyAlignment="1" applyBorder="1" applyFill="1" applyNumberFormat="1" borderId="13" fillId="2" fontId="1" numFmtId="168" xfId="6">
      <alignment horizontal="right" vertical="center"/>
    </xf>
    <xf applyAlignment="1" applyFill="1" applyNumberFormat="1" borderId="0" fillId="2" fontId="1" numFmtId="168" xfId="6">
      <alignment horizontal="right" vertical="center"/>
    </xf>
    <xf applyAlignment="1" applyBorder="1" applyFill="1" applyNumberFormat="1" borderId="5" fillId="2" fontId="1" numFmtId="168" xfId="6">
      <alignment horizontal="right" vertical="center"/>
    </xf>
    <xf applyAlignment="1" applyBorder="1" applyFill="1" applyNumberFormat="1" borderId="10" fillId="2" fontId="1" numFmtId="168" xfId="6">
      <alignment horizontal="right" vertical="center"/>
    </xf>
    <xf applyAlignment="1" applyFill="1" applyNumberFormat="1" borderId="0" fillId="2" fontId="1" numFmtId="4" xfId="6">
      <alignment horizontal="right" vertical="center"/>
    </xf>
    <xf applyAlignment="1" applyBorder="1" applyFill="1" applyNumberFormat="1" borderId="5" fillId="2" fontId="1" numFmtId="4" xfId="6">
      <alignment horizontal="right" vertical="center"/>
    </xf>
    <xf applyAlignment="1" applyBorder="1" applyFill="1" applyNumberFormat="1" borderId="10" fillId="2" fontId="1" numFmtId="4" xfId="6">
      <alignment horizontal="right" vertical="center"/>
    </xf>
    <xf applyAlignment="1" applyFill="1" applyNumberFormat="1" borderId="0" fillId="2" fontId="1" numFmtId="164" xfId="6">
      <alignment horizontal="right" vertical="center"/>
    </xf>
    <xf applyAlignment="1" applyBorder="1" applyFill="1" applyNumberFormat="1" borderId="5" fillId="2" fontId="1" numFmtId="164" xfId="6">
      <alignment horizontal="right" vertical="center"/>
    </xf>
    <xf applyAlignment="1" applyBorder="1" applyFill="1" applyNumberFormat="1" borderId="10" fillId="2" fontId="1" numFmtId="164" xfId="6">
      <alignment horizontal="right" vertical="center"/>
    </xf>
    <xf applyAlignment="1" applyBorder="1" applyFill="1" applyNumberFormat="1" borderId="17" fillId="2" fontId="1" numFmtId="164" xfId="6">
      <alignment horizontal="right" vertical="center"/>
    </xf>
    <xf applyAlignment="1" applyBorder="1" applyFill="1" applyNumberFormat="1" borderId="7" fillId="2" fontId="1" numFmtId="164" xfId="6">
      <alignment horizontal="right" vertical="center"/>
    </xf>
    <xf applyAlignment="1" applyBorder="1" applyFill="1" applyNumberFormat="1" borderId="18" fillId="2" fontId="1" numFmtId="164" xfId="6">
      <alignment horizontal="right" vertical="center"/>
    </xf>
    <xf applyAlignment="1" applyBorder="1" applyFill="1" applyFont="1" applyNumberFormat="1" borderId="2" fillId="10" fontId="9" numFmtId="168" xfId="0">
      <alignment horizontal="centerContinuous" vertical="center"/>
    </xf>
    <xf applyAlignment="1" applyBorder="1" applyFill="1" applyFont="1" borderId="18" fillId="3" fontId="4" numFmtId="0" xfId="0">
      <alignment horizontal="right" vertical="center"/>
    </xf>
    <xf applyAlignment="1" applyBorder="1" applyFill="1" applyFont="1" borderId="3" fillId="2" fontId="0" numFmtId="0" xfId="3">
      <alignment vertical="center"/>
    </xf>
    <xf applyAlignment="1" applyBorder="1" applyFill="1" applyFont="1" applyNumberFormat="1" borderId="0" fillId="3" fontId="0" numFmtId="0" xfId="0">
      <alignment horizontal="right"/>
    </xf>
    <xf applyAlignment="1" applyBorder="1" applyFill="1" applyFont="1" applyNumberFormat="1" borderId="0" fillId="3" fontId="0" numFmtId="3" xfId="0">
      <alignment horizontal="right"/>
    </xf>
    <xf applyAlignment="1" applyBorder="1" applyFill="1" borderId="0" fillId="7" fontId="0" numFmtId="0" xfId="0">
      <alignment horizontal="left"/>
    </xf>
    <xf applyAlignment="1" applyBorder="1" applyFill="1" applyNumberFormat="1" borderId="0" fillId="7" fontId="0" numFmtId="0" xfId="0">
      <alignment horizontal="right"/>
    </xf>
    <xf applyAlignment="1" applyBorder="1" applyFill="1" applyNumberFormat="1" borderId="0" fillId="7" fontId="0" numFmtId="3" xfId="0">
      <alignment horizontal="right"/>
    </xf>
    <xf applyAlignment="1" applyBorder="1" applyFill="1" applyNumberFormat="1" borderId="0" fillId="7" fontId="0" numFmtId="168" xfId="0">
      <alignment horizontal="right"/>
    </xf>
    <xf applyAlignment="1" applyBorder="1" applyFill="1" borderId="0" fillId="2" fontId="0" numFmtId="0" xfId="0">
      <alignment horizontal="left"/>
    </xf>
    <xf applyAlignment="1" applyBorder="1" applyFill="1" applyNumberFormat="1" borderId="0" fillId="2" fontId="0" numFmtId="0" xfId="0">
      <alignment horizontal="right"/>
    </xf>
    <xf applyAlignment="1" applyBorder="1" applyFill="1" applyNumberFormat="1" borderId="0" fillId="2" fontId="0" numFmtId="3" xfId="0">
      <alignment horizontal="right"/>
    </xf>
    <xf applyAlignment="1" applyBorder="1" applyFill="1" applyNumberFormat="1" borderId="0" fillId="2" fontId="0" numFmtId="168" xfId="0">
      <alignment horizontal="right"/>
    </xf>
    <xf applyAlignment="1" applyBorder="1" applyFill="1" applyFont="1" applyNumberFormat="1" borderId="1" fillId="2" fontId="4" numFmtId="168" xfId="6">
      <alignment vertical="center"/>
    </xf>
    <xf applyAlignment="1" applyBorder="1" applyFill="1" applyFont="1" applyNumberFormat="1" borderId="11" fillId="2" fontId="4" numFmtId="168" xfId="6">
      <alignment vertical="center"/>
    </xf>
    <xf applyAlignment="1" applyBorder="1" applyFill="1" applyFont="1" borderId="0" fillId="7" fontId="0" numFmtId="0" xfId="0">
      <alignment vertical="center"/>
    </xf>
    <xf applyAlignment="1" applyBorder="1" applyFill="1" applyFont="1" borderId="0" fillId="7" fontId="0" numFmtId="0" xfId="0">
      <alignment horizontal="right" vertical="center"/>
    </xf>
    <xf applyAlignment="1" applyBorder="1" applyFill="1" applyFont="1" applyNumberFormat="1" borderId="5" fillId="37" fontId="10" numFmtId="168" xfId="0">
      <alignment horizontal="right"/>
    </xf>
    <xf applyBorder="1" applyFill="1" applyNumberFormat="1" borderId="0" fillId="2" fontId="0" numFmtId="168" xfId="0"/>
    <xf applyAlignment="1" applyBorder="1" applyFill="1" applyFont="1" applyNumberFormat="1" borderId="9" fillId="10" fontId="9" numFmtId="168" xfId="0">
      <alignment horizontal="centerContinuous" vertical="center"/>
    </xf>
    <xf applyAlignment="1" applyBorder="1" applyFill="1" applyFont="1" applyNumberFormat="1" borderId="2" fillId="36" fontId="9" numFmtId="0" xfId="0">
      <alignment horizontal="right"/>
    </xf>
    <xf applyAlignment="1" applyBorder="1" applyFill="1" applyFont="1" applyNumberFormat="1" borderId="0" fillId="7" fontId="0" numFmtId="164" xfId="0">
      <alignment vertical="center"/>
    </xf>
    <xf applyAlignment="1" applyBorder="1" applyFill="1" applyFont="1" applyNumberFormat="1" borderId="0" fillId="7" fontId="0" numFmtId="165" xfId="0">
      <alignment vertical="center"/>
    </xf>
    <xf applyAlignment="1" applyBorder="1" applyFill="1" applyFont="1" borderId="10" fillId="19" fontId="4" numFmtId="0" xfId="0">
      <alignment horizontal="right" vertical="center"/>
    </xf>
    <xf applyAlignment="1" applyBorder="1" applyFill="1" applyFont="1" borderId="10" fillId="19" fontId="10" numFmtId="0" xfId="0">
      <alignment horizontal="right" vertical="center"/>
    </xf>
    <xf applyAlignment="1" applyBorder="1" applyFill="1" applyFont="1" borderId="18" fillId="19" fontId="4" numFmtId="0" xfId="0">
      <alignment horizontal="right" vertical="center"/>
    </xf>
    <xf applyAlignment="1" applyBorder="1" applyFill="1" applyFont="1" applyNumberFormat="1" borderId="0" fillId="38" fontId="0" numFmtId="168" xfId="0">
      <alignment horizontal="right"/>
    </xf>
    <xf applyBorder="1" applyFill="1" applyNumberFormat="1" borderId="5" fillId="2" fontId="0" numFmtId="168" xfId="0"/>
    <xf applyAlignment="1" applyBorder="1" applyFill="1" applyFont="1" applyNumberFormat="1" borderId="5" fillId="22" fontId="10" numFmtId="3" xfId="0">
      <alignment horizontal="right" vertical="center"/>
    </xf>
    <xf applyAlignment="1" applyBorder="1" applyFill="1" applyFont="1" applyNumberFormat="1" borderId="5" fillId="20" fontId="10" numFmtId="3" xfId="0">
      <alignment horizontal="right" vertical="center"/>
    </xf>
    <xf applyAlignment="1" applyBorder="1" applyFill="1" applyFont="1" applyNumberFormat="1" borderId="5" fillId="20" fontId="0" numFmtId="3" xfId="0">
      <alignment horizontal="right" vertical="center"/>
    </xf>
    <xf applyAlignment="1" applyBorder="1" applyFill="1" applyFont="1" applyNumberFormat="1" borderId="1" fillId="4" fontId="9" numFmtId="3" xfId="0">
      <alignment vertical="center"/>
    </xf>
    <xf applyAlignment="1" applyBorder="1" applyFill="1" applyFont="1" borderId="5" fillId="22" fontId="10" numFmtId="0" xfId="0">
      <alignment horizontal="right" vertical="center"/>
    </xf>
    <xf applyAlignment="1" applyBorder="1" applyFill="1" applyFont="1" borderId="5" fillId="3" fontId="18" numFmtId="0" xfId="0">
      <alignment horizontal="right" vertical="center"/>
    </xf>
    <xf applyAlignment="1" applyBorder="1" applyFill="1" applyFont="1" borderId="5" fillId="3" fontId="4" numFmtId="0" xfId="0">
      <alignment horizontal="right" vertical="center"/>
    </xf>
    <xf applyAlignment="1" applyBorder="1" applyFill="1" applyFont="1" borderId="10" fillId="19" fontId="0" numFmtId="0" xfId="0">
      <alignment horizontal="right" vertical="center"/>
    </xf>
    <xf applyAlignment="1" applyBorder="1" applyFill="1" applyFont="1" applyNumberFormat="1" borderId="1" fillId="4" fontId="9" numFmtId="3" xfId="0">
      <alignment horizontal="right" vertical="center"/>
    </xf>
    <xf applyAlignment="1" applyBorder="1" applyFill="1" applyFont="1" borderId="10" fillId="22" fontId="10" numFmtId="0" xfId="0">
      <alignment horizontal="left" vertical="center"/>
    </xf>
    <xf applyAlignment="1" applyBorder="1" applyFill="1" applyFont="1" borderId="10" fillId="3" fontId="10" numFmtId="0" xfId="0">
      <alignment horizontal="left" vertical="center"/>
    </xf>
    <xf applyAlignment="1" applyBorder="1" applyFill="1" applyFont="1" borderId="10" fillId="3" fontId="0" numFmtId="0" xfId="0">
      <alignment horizontal="left" vertical="center"/>
    </xf>
    <xf applyAlignment="1" applyBorder="1" applyFill="1" applyFont="1" borderId="18" fillId="3" fontId="4" numFmtId="0" xfId="0">
      <alignment horizontal="left" vertical="center"/>
    </xf>
    <xf applyAlignment="1" applyBorder="1" applyFill="1" applyFont="1" applyNumberFormat="1" borderId="7" fillId="20" fontId="10" numFmtId="3" xfId="0">
      <alignment horizontal="right" vertical="center"/>
    </xf>
    <xf applyAlignment="1" applyFill="1" applyFont="1" applyNumberFormat="1" borderId="0" fillId="2" fontId="36" numFmtId="0" xfId="4">
      <alignment vertical="center"/>
    </xf>
    <xf applyAlignment="1" applyFill="1" applyFont="1" borderId="0" fillId="3" fontId="35" numFmtId="0" xfId="0">
      <alignment horizontal="left" vertical="center"/>
    </xf>
    <xf applyAlignment="1" applyBorder="1" applyFill="1" applyFont="1" applyNumberFormat="1" borderId="5" fillId="0" fontId="9" numFmtId="168" xfId="0">
      <alignment horizontal="right"/>
    </xf>
    <xf applyAlignment="1" applyBorder="1" applyFill="1" applyFont="1" applyNumberFormat="1" borderId="0" fillId="5" fontId="0" numFmtId="168" xfId="0">
      <alignment horizontal="right"/>
    </xf>
    <xf applyAlignment="1" applyBorder="1" applyFill="1" applyFont="1" borderId="1" fillId="10" fontId="9" numFmtId="0" xfId="0">
      <alignment horizontal="center" vertical="center"/>
    </xf>
    <xf applyAlignment="1" applyBorder="1" applyFill="1" applyFont="1" borderId="11" fillId="10" fontId="9" numFmtId="0" xfId="0">
      <alignment horizontal="center" vertical="center"/>
    </xf>
    <xf applyAlignment="1" applyBorder="1" applyFill="1" applyFont="1" borderId="0" fillId="4" fontId="9" numFmtId="0" xfId="0">
      <alignment horizontal="center" vertical="center"/>
    </xf>
    <xf applyAlignment="1" applyBorder="1" applyFill="1" applyFont="1" applyNumberFormat="1" borderId="1" fillId="4" fontId="9" numFmtId="168" xfId="0">
      <alignment horizontal="center" vertical="center"/>
    </xf>
    <xf applyAlignment="1" applyBorder="1" applyFill="1" applyFont="1" applyNumberFormat="1" borderId="9" fillId="4" fontId="9" numFmtId="168" xfId="0">
      <alignment horizontal="center" vertical="center"/>
    </xf>
    <xf applyAlignment="1" applyBorder="1" applyFill="1" applyFont="1" applyNumberFormat="1" borderId="2" fillId="4" fontId="9" numFmtId="168" xfId="0">
      <alignment horizontal="center" vertical="center"/>
    </xf>
    <xf applyAlignment="1" applyFill="1" applyFont="1" borderId="0" fillId="2" fontId="34" numFmtId="0" xfId="6">
      <alignment vertical="center"/>
    </xf>
    <xf applyAlignment="1" applyBorder="1" applyFill="1" applyNumberFormat="1" borderId="5" fillId="43" fontId="1" numFmtId="168" xfId="3">
      <alignment vertical="center"/>
    </xf>
    <xf applyAlignment="1" applyBorder="1" applyFill="1" applyNumberFormat="1" borderId="0" fillId="43" fontId="1" numFmtId="165" xfId="3">
      <alignment vertical="center"/>
    </xf>
    <xf applyAlignment="1" applyBorder="1" applyFill="1" applyNumberFormat="1" borderId="6" fillId="43" fontId="1" numFmtId="168" xfId="3">
      <alignment vertical="center"/>
    </xf>
    <xf applyAlignment="1" applyBorder="1" applyFill="1" applyNumberFormat="1" borderId="3" fillId="43" fontId="1" numFmtId="168" xfId="3">
      <alignment vertical="center"/>
    </xf>
    <xf applyAlignment="1" applyBorder="1" applyFill="1" applyNumberFormat="1" borderId="12" fillId="43" fontId="1" numFmtId="165" xfId="3">
      <alignment vertical="center"/>
    </xf>
    <xf applyAlignment="1" applyBorder="1" applyFill="1" applyNumberFormat="1" borderId="4" fillId="43" fontId="1" numFmtId="168" xfId="3">
      <alignment vertical="center"/>
    </xf>
    <xf applyAlignment="1" applyBorder="1" applyFill="1" applyNumberFormat="1" borderId="7" fillId="43" fontId="1" numFmtId="168" xfId="3">
      <alignment vertical="center"/>
    </xf>
    <xf applyAlignment="1" applyBorder="1" applyFill="1" applyNumberFormat="1" borderId="17" fillId="43" fontId="1" numFmtId="165" xfId="3">
      <alignment vertical="center"/>
    </xf>
    <xf applyAlignment="1" applyBorder="1" applyFill="1" applyNumberFormat="1" borderId="8" fillId="43" fontId="1" numFmtId="168" xfId="3">
      <alignment vertical="center"/>
    </xf>
    <xf applyAlignment="1" applyFont="1" borderId="0" fillId="0" fontId="1" numFmtId="0" xfId="6">
      <alignment vertical="center"/>
    </xf>
    <xf applyAlignment="1" applyBorder="1" applyFill="1" applyFont="1" applyProtection="1" borderId="0" fillId="2" fontId="37" numFmtId="0" xfId="6">
      <alignment horizontal="left" vertical="center"/>
    </xf>
    <xf applyAlignment="1" applyBorder="1" applyFill="1" applyFont="1" applyNumberFormat="1" applyProtection="1" borderId="0" fillId="2" fontId="38" numFmtId="14" xfId="6">
      <alignment horizontal="right" vertical="center"/>
    </xf>
    <xf applyAlignment="1" applyBorder="1" applyFill="1" applyFont="1" applyProtection="1" borderId="0" fillId="2" fontId="39" numFmtId="0" xfId="6">
      <alignment horizontal="left" vertical="center"/>
    </xf>
    <xf applyAlignment="1" applyFill="1" applyFont="1" borderId="0" fillId="3" fontId="8" numFmtId="0" xfId="7">
      <alignment horizontal="left" vertical="center"/>
    </xf>
    <xf applyAlignment="1" applyFill="1" applyFont="1" applyNumberFormat="1" borderId="0" fillId="3" fontId="8" numFmtId="14" xfId="7">
      <alignment horizontal="left" vertical="center"/>
    </xf>
    <xf applyAlignment="1" applyBorder="1" applyFill="1" applyFont="1" borderId="0" fillId="2" fontId="40" numFmtId="0" xfId="6">
      <alignment vertical="center"/>
    </xf>
    <xf applyAlignment="1" applyFill="1" applyFont="1" borderId="0" fillId="2" fontId="40" numFmtId="0" xfId="6">
      <alignment vertical="center"/>
    </xf>
    <xf applyAlignment="1" applyBorder="1" applyFill="1" applyFont="1" borderId="0" fillId="2" fontId="40" numFmtId="0" xfId="6">
      <alignment horizontal="left" vertical="center"/>
    </xf>
    <xf applyAlignment="1" applyBorder="1" applyFill="1" applyFont="1" borderId="0" fillId="2" fontId="41" numFmtId="0" xfId="6">
      <alignment vertical="center"/>
    </xf>
    <xf applyAlignment="1" applyBorder="1" applyFill="1" applyNumberFormat="1" borderId="0" fillId="2" fontId="6" numFmtId="168" xfId="8">
      <alignment horizontal="left" vertical="top" wrapText="1"/>
    </xf>
    <xf applyAlignment="1" applyBorder="1" applyFont="1" borderId="0" fillId="0" fontId="1" numFmtId="0" xfId="6">
      <alignment vertical="center"/>
    </xf>
    <xf applyAlignment="1" applyBorder="1" applyFill="1" applyFont="1" borderId="5" fillId="2" fontId="1" numFmtId="0" xfId="6">
      <alignment vertical="center"/>
    </xf>
    <xf applyAlignment="1" applyBorder="1" applyFill="1" applyFont="1" borderId="7" fillId="2" fontId="1" numFmtId="0" xfId="6">
      <alignment vertical="center"/>
    </xf>
    <xf applyAlignment="1" applyBorder="1" applyFill="1" applyFont="1" borderId="17" fillId="2" fontId="1" numFmtId="0" xfId="6">
      <alignment vertical="center"/>
    </xf>
    <xf applyAlignment="1" applyBorder="1" applyFill="1" applyFont="1" borderId="12" fillId="2" fontId="1" numFmtId="0" xfId="6">
      <alignment vertical="center"/>
    </xf>
    <xf applyAlignment="1" applyFill="1" applyFont="1" borderId="0" fillId="2" fontId="41" numFmtId="0" xfId="6">
      <alignment vertical="center"/>
    </xf>
    <xf applyAlignment="1" applyBorder="1" applyFill="1" applyFont="1" borderId="3" fillId="2" fontId="1" numFmtId="0" xfId="6">
      <alignment vertical="center"/>
    </xf>
    <xf applyAlignment="1" applyBorder="1" applyFill="1" applyFont="1" borderId="4" fillId="2" fontId="1" numFmtId="0" xfId="6">
      <alignment vertical="center"/>
    </xf>
    <xf applyAlignment="1" applyBorder="1" applyFill="1" applyFont="1" borderId="6" fillId="2" fontId="1" numFmtId="0" xfId="6">
      <alignment vertical="center"/>
    </xf>
    <xf applyAlignment="1" applyBorder="1" applyFill="1" applyFont="1" borderId="5" fillId="2" fontId="42" numFmtId="0" xfId="6">
      <alignment vertical="center"/>
    </xf>
    <xf applyAlignment="1" applyBorder="1" applyFill="1" applyFont="1" borderId="8" fillId="2" fontId="1" numFmtId="0" xfId="6">
      <alignment vertical="center"/>
    </xf>
    <xf applyAlignment="1" applyBorder="1" applyFill="1" applyFont="1" borderId="5" fillId="2" fontId="44" numFmtId="0" xfId="6">
      <alignment horizontal="left" vertical="center"/>
    </xf>
    <xf applyAlignment="1" applyBorder="1" applyFill="1" applyFont="1" applyNumberFormat="1" borderId="0" fillId="2" fontId="44" numFmtId="3" xfId="6">
      <alignment horizontal="right" vertical="center"/>
    </xf>
    <xf applyAlignment="1" applyBorder="1" applyFill="1" applyFont="1" applyNumberFormat="1" borderId="0" fillId="2" fontId="44" numFmtId="168" xfId="6">
      <alignment horizontal="right" vertical="center"/>
    </xf>
    <xf applyAlignment="1" applyBorder="1" applyFill="1" applyFont="1" borderId="5" fillId="45" fontId="44" numFmtId="0" xfId="6">
      <alignment horizontal="left" vertical="center"/>
    </xf>
    <xf applyAlignment="1" applyBorder="1" applyFill="1" applyFont="1" applyNumberFormat="1" borderId="0" fillId="45" fontId="44" numFmtId="3" xfId="6">
      <alignment horizontal="right" vertical="center"/>
    </xf>
    <xf applyAlignment="1" applyBorder="1" applyFill="1" applyFont="1" borderId="5" fillId="44" fontId="43" numFmtId="0" xfId="6">
      <alignment horizontal="left" vertical="center"/>
    </xf>
    <xf applyAlignment="1" applyBorder="1" applyFill="1" applyFont="1" borderId="0" fillId="44" fontId="43" numFmtId="0" xfId="6">
      <alignment horizontal="left" vertical="center"/>
    </xf>
    <xf applyAlignment="1" applyBorder="1" applyFill="1" applyFont="1" borderId="0" fillId="44" fontId="43" numFmtId="0" xfId="6">
      <alignment horizontal="right" vertical="center"/>
    </xf>
    <xf applyAlignment="1" applyBorder="1" applyFill="1" applyFont="1" borderId="6" fillId="44" fontId="43" numFmtId="0" xfId="6">
      <alignment horizontal="right" vertical="center"/>
    </xf>
    <xf applyAlignment="1" applyBorder="1" applyFill="1" applyFont="1" borderId="0" fillId="2" fontId="44" numFmtId="0" xfId="6">
      <alignment horizontal="left" vertical="center"/>
    </xf>
    <xf applyAlignment="1" applyBorder="1" applyFill="1" applyFont="1" applyNumberFormat="1" borderId="6" fillId="2" fontId="44" numFmtId="3" xfId="6">
      <alignment horizontal="right" vertical="center"/>
    </xf>
    <xf applyAlignment="1" applyBorder="1" applyFill="1" applyFont="1" borderId="0" fillId="45" fontId="44" numFmtId="0" xfId="6">
      <alignment horizontal="left" vertical="center"/>
    </xf>
    <xf applyAlignment="1" applyBorder="1" applyFill="1" applyFont="1" applyNumberFormat="1" borderId="6" fillId="45" fontId="44" numFmtId="3" xfId="6">
      <alignment horizontal="right" vertical="center"/>
    </xf>
    <xf applyAlignment="1" applyBorder="1" applyFill="1" applyFont="1" borderId="0" fillId="45" fontId="44" numFmtId="0" xfId="6">
      <alignment horizontal="right" vertical="center"/>
    </xf>
    <xf applyAlignment="1" applyBorder="1" applyFill="1" applyFont="1" applyNumberFormat="1" borderId="6" fillId="45" fontId="45" numFmtId="164" xfId="6">
      <alignment horizontal="right" vertical="center"/>
    </xf>
    <xf applyAlignment="1" applyBorder="1" applyFill="1" applyFont="1" applyNumberFormat="1" borderId="6" fillId="2" fontId="45" numFmtId="164" xfId="6">
      <alignment horizontal="right" vertical="center"/>
    </xf>
    <xf applyAlignment="1" applyBorder="1" applyFill="1" applyFont="1" applyNumberFormat="1" borderId="0" fillId="45" fontId="44" numFmtId="4" xfId="6">
      <alignment horizontal="right" vertical="center"/>
    </xf>
    <xf applyAlignment="1" applyBorder="1" applyFill="1" applyFont="1" applyNumberFormat="1" borderId="6" fillId="45" fontId="46" numFmtId="164" xfId="6">
      <alignment horizontal="right" vertical="center"/>
    </xf>
    <xf applyAlignment="1" applyBorder="1" applyFill="1" applyFont="1" applyNumberFormat="1" borderId="0" fillId="2" fontId="44" numFmtId="4" xfId="6">
      <alignment horizontal="right" vertical="center"/>
    </xf>
    <xf applyAlignment="1" applyBorder="1" applyFill="1" applyFont="1" applyNumberFormat="1" borderId="6" fillId="2" fontId="46" numFmtId="164" xfId="6">
      <alignment horizontal="right" vertical="center"/>
    </xf>
    <xf applyAlignment="1" applyBorder="1" applyFill="1" applyFont="1" borderId="7" fillId="45" fontId="44" numFmtId="0" xfId="6">
      <alignment horizontal="left" vertical="center"/>
    </xf>
    <xf applyAlignment="1" applyBorder="1" applyFill="1" applyFont="1" borderId="17" fillId="45" fontId="44" numFmtId="0" xfId="6">
      <alignment horizontal="left" vertical="center"/>
    </xf>
    <xf applyAlignment="1" applyBorder="1" applyFill="1" applyFont="1" applyNumberFormat="1" borderId="17" fillId="45" fontId="44" numFmtId="4" xfId="6">
      <alignment horizontal="right" vertical="center"/>
    </xf>
    <xf applyAlignment="1" applyBorder="1" applyFill="1" applyFont="1" applyNumberFormat="1" borderId="8" fillId="45" fontId="46" numFmtId="164" xfId="6">
      <alignment horizontal="right" vertical="center"/>
    </xf>
    <xf applyAlignment="1" applyBorder="1" applyFill="1" applyFont="1" borderId="1" fillId="44" fontId="47" numFmtId="0" xfId="6">
      <alignment horizontal="left" vertical="center"/>
    </xf>
    <xf applyAlignment="1" applyBorder="1" applyFill="1" applyFont="1" borderId="9" fillId="44" fontId="47" numFmtId="0" xfId="6">
      <alignment horizontal="left" vertical="center"/>
    </xf>
    <xf applyAlignment="1" applyBorder="1" applyFill="1" applyFont="1" applyNumberFormat="1" borderId="2" fillId="44" fontId="47" numFmtId="4" xfId="6">
      <alignment horizontal="right" vertical="center"/>
    </xf>
    <xf applyAlignment="1" applyBorder="1" applyFill="1" applyFont="1" applyNumberFormat="1" borderId="11" fillId="44" fontId="47" numFmtId="4" xfId="6">
      <alignment horizontal="right" vertical="center"/>
    </xf>
    <xf applyAlignment="1" applyBorder="1" applyFill="1" applyFont="1" borderId="1" fillId="2" fontId="34" numFmtId="0" xfId="6">
      <alignment horizontal="left" vertical="center"/>
    </xf>
    <xf applyAlignment="1" applyBorder="1" applyFill="1" applyFont="1" borderId="9" fillId="2" fontId="34" numFmtId="0" xfId="6">
      <alignment horizontal="left" vertical="center"/>
    </xf>
    <xf applyAlignment="1" applyBorder="1" applyFill="1" applyFont="1" borderId="2" fillId="46" fontId="34" numFmtId="0" xfId="6">
      <alignment horizontal="right" vertical="center"/>
    </xf>
    <xf applyAlignment="1" applyBorder="1" applyFill="1" applyFont="1" borderId="11" fillId="40" fontId="34" numFmtId="0" quotePrefix="1" xfId="6">
      <alignment horizontal="right" vertical="center"/>
    </xf>
    <xf applyAlignment="1" applyBorder="1" applyFill="1" applyFont="1" borderId="11" fillId="2" fontId="34" numFmtId="0" xfId="6">
      <alignment horizontal="right" vertical="center"/>
    </xf>
    <xf applyAlignment="1" applyBorder="1" applyFill="1" applyFont="1" borderId="7" fillId="2" fontId="34" numFmtId="0" xfId="6">
      <alignment horizontal="left" vertical="center"/>
    </xf>
    <xf applyAlignment="1" applyBorder="1" applyFill="1" applyFont="1" borderId="17" fillId="2" fontId="34" numFmtId="0" xfId="6">
      <alignment horizontal="left" vertical="center"/>
    </xf>
    <xf applyAlignment="1" applyBorder="1" applyFill="1" applyFont="1" borderId="8" fillId="46" fontId="34" numFmtId="0" xfId="6">
      <alignment horizontal="right" vertical="center"/>
    </xf>
    <xf applyAlignment="1" applyBorder="1" applyFill="1" applyFont="1" borderId="18" fillId="40" fontId="34" numFmtId="0" xfId="6">
      <alignment horizontal="right" vertical="center"/>
    </xf>
    <xf applyAlignment="1" applyBorder="1" applyFill="1" applyFont="1" borderId="7" fillId="2" fontId="34" numFmtId="0" xfId="6">
      <alignment horizontal="right" vertical="center"/>
    </xf>
    <xf applyAlignment="1" applyBorder="1" applyFill="1" applyFont="1" borderId="18" fillId="2" fontId="34" numFmtId="0" xfId="6">
      <alignment horizontal="right" vertical="center"/>
    </xf>
    <xf applyAlignment="1" applyBorder="1" applyFill="1" applyFont="1" borderId="11" fillId="40" fontId="34" numFmtId="0" xfId="6">
      <alignment horizontal="right" vertical="center"/>
    </xf>
    <xf applyAlignment="1" applyBorder="1" applyFill="1" applyFont="1" borderId="3" fillId="2" fontId="34" numFmtId="0" xfId="6">
      <alignment horizontal="left" vertical="center"/>
    </xf>
    <xf applyAlignment="1" applyBorder="1" applyFill="1" applyFont="1" borderId="12" fillId="2" fontId="34" numFmtId="0" xfId="6">
      <alignment horizontal="left" vertical="center"/>
    </xf>
    <xf applyAlignment="1" applyBorder="1" applyFill="1" applyFont="1" borderId="4" fillId="46" fontId="34" numFmtId="0" xfId="6">
      <alignment horizontal="right" vertical="center"/>
    </xf>
    <xf applyAlignment="1" applyBorder="1" applyFill="1" applyFont="1" applyNumberFormat="1" borderId="10" fillId="40" fontId="34" numFmtId="1" xfId="6">
      <alignment horizontal="right" vertical="center"/>
    </xf>
    <xf applyAlignment="1" applyBorder="1" applyFill="1" applyFont="1" borderId="10" fillId="2" fontId="34" numFmtId="0" xfId="6">
      <alignment horizontal="right" vertical="center"/>
    </xf>
    <xf applyAlignment="1" applyBorder="1" applyFill="1" applyFont="1" borderId="6" fillId="2" fontId="34" numFmtId="0" xfId="6">
      <alignment horizontal="right" vertical="center"/>
    </xf>
    <xf applyAlignment="1" applyBorder="1" applyFill="1" applyFont="1" borderId="5" fillId="2" fontId="34" numFmtId="0" xfId="6">
      <alignment horizontal="left" vertical="center"/>
    </xf>
    <xf applyAlignment="1" applyBorder="1" applyFill="1" applyFont="1" borderId="0" fillId="2" fontId="34" numFmtId="0" xfId="6">
      <alignment horizontal="left" vertical="center"/>
    </xf>
    <xf applyAlignment="1" applyBorder="1" applyFill="1" applyFont="1" borderId="6" fillId="46" fontId="34" numFmtId="0" xfId="6">
      <alignment horizontal="right" vertical="center"/>
    </xf>
    <xf applyAlignment="1" applyBorder="1" applyFill="1" applyFont="1" applyNumberFormat="1" borderId="10" fillId="40" fontId="34" numFmtId="3" xfId="6">
      <alignment horizontal="right" vertical="center"/>
    </xf>
    <xf applyAlignment="1" applyBorder="1" applyFill="1" applyFont="1" applyNumberFormat="1" borderId="18" fillId="40" fontId="34" numFmtId="172" xfId="6">
      <alignment horizontal="right" vertical="center"/>
    </xf>
    <xf applyAlignment="1" applyBorder="1" applyFill="1" applyFont="1" applyNumberFormat="1" borderId="18" fillId="2" fontId="34" numFmtId="172" xfId="6">
      <alignment horizontal="right" vertical="center"/>
    </xf>
    <xf applyAlignment="1" applyBorder="1" applyFill="1" applyFont="1" applyNumberFormat="1" borderId="8" fillId="2" fontId="34" numFmtId="172" xfId="6">
      <alignment horizontal="right" vertical="center"/>
    </xf>
    <xf applyAlignment="1" applyBorder="1" applyFill="1" applyFont="1" applyNumberFormat="1" borderId="10" fillId="40" fontId="34" numFmtId="164" xfId="6">
      <alignment horizontal="right" vertical="center"/>
    </xf>
    <xf applyAlignment="1" applyBorder="1" applyFill="1" applyFont="1" applyNumberFormat="1" borderId="10" fillId="2" fontId="34" numFmtId="164" xfId="6">
      <alignment horizontal="right" vertical="center"/>
    </xf>
    <xf applyAlignment="1" applyBorder="1" applyFill="1" applyFont="1" applyNumberFormat="1" borderId="18" fillId="40" fontId="34" numFmtId="164" xfId="6">
      <alignment horizontal="right" vertical="center"/>
    </xf>
    <xf applyAlignment="1" applyBorder="1" applyFill="1" applyFont="1" applyNumberFormat="1" borderId="18" fillId="2" fontId="34" numFmtId="164" xfId="6">
      <alignment horizontal="right" vertical="center"/>
    </xf>
    <xf applyAlignment="1" applyBorder="1" applyFill="1" applyFont="1" borderId="1" fillId="2" fontId="48" numFmtId="0" xfId="6">
      <alignment horizontal="left" vertical="center"/>
    </xf>
    <xf applyAlignment="1" applyBorder="1" applyFill="1" applyFont="1" borderId="9" fillId="2" fontId="48" numFmtId="0" xfId="6">
      <alignment horizontal="left" vertical="center"/>
    </xf>
    <xf applyAlignment="1" applyBorder="1" applyFill="1" applyFont="1" borderId="2" fillId="46" fontId="48" numFmtId="0" xfId="6">
      <alignment horizontal="right" vertical="center"/>
    </xf>
    <xf applyAlignment="1" applyBorder="1" applyFill="1" applyFont="1" applyNumberFormat="1" borderId="18" fillId="40" fontId="48" numFmtId="164" xfId="6">
      <alignment horizontal="right" vertical="center"/>
    </xf>
    <xf applyAlignment="1" applyBorder="1" applyFill="1" applyFont="1" applyNumberFormat="1" borderId="18" fillId="2" fontId="48" numFmtId="164" xfId="6">
      <alignment horizontal="right" vertical="center"/>
    </xf>
    <xf applyAlignment="1" applyBorder="1" applyFill="1" applyFont="1" borderId="0" fillId="2" fontId="34" numFmtId="0" xfId="6">
      <alignment vertical="center"/>
    </xf>
    <xf applyAlignment="1" applyBorder="1" applyFill="1" applyFont="1" applyNumberFormat="1" borderId="6" fillId="46" fontId="34" numFmtId="3" xfId="6">
      <alignment horizontal="right" vertical="center"/>
    </xf>
    <xf applyAlignment="1" applyBorder="1" applyFill="1" applyFont="1" applyNumberFormat="1" borderId="5" fillId="2" fontId="34" numFmtId="3" xfId="6">
      <alignment horizontal="right" vertical="center"/>
    </xf>
    <xf applyAlignment="1" applyBorder="1" applyFill="1" applyFont="1" applyNumberFormat="1" borderId="10" fillId="2" fontId="34" numFmtId="3" xfId="6">
      <alignment horizontal="right" vertical="center"/>
    </xf>
    <xf applyAlignment="1" applyBorder="1" applyFill="1" applyFont="1" borderId="17" fillId="2" fontId="34" numFmtId="0" xfId="6">
      <alignment vertical="center"/>
    </xf>
    <xf applyAlignment="1" applyBorder="1" applyFill="1" applyFont="1" applyNumberFormat="1" borderId="8" fillId="46" fontId="34" numFmtId="3" xfId="6">
      <alignment horizontal="right" vertical="center"/>
    </xf>
    <xf applyAlignment="1" applyBorder="1" applyFill="1" applyFont="1" applyNumberFormat="1" borderId="18" fillId="40" fontId="34" numFmtId="3" xfId="6">
      <alignment horizontal="right" vertical="center"/>
    </xf>
    <xf applyAlignment="1" applyBorder="1" applyFill="1" applyFont="1" applyNumberFormat="1" borderId="7" fillId="2" fontId="34" numFmtId="3" xfId="6">
      <alignment horizontal="right" vertical="center"/>
    </xf>
    <xf applyAlignment="1" applyBorder="1" applyFill="1" applyFont="1" applyNumberFormat="1" borderId="18" fillId="2" fontId="34" numFmtId="3" xfId="6">
      <alignment horizontal="right" vertical="center"/>
    </xf>
    <xf applyAlignment="1" applyBorder="1" applyFill="1" applyFont="1" applyNumberFormat="1" borderId="2" fillId="46" fontId="48" numFmtId="3" xfId="6">
      <alignment horizontal="right" vertical="center"/>
    </xf>
    <xf applyAlignment="1" applyBorder="1" applyFill="1" applyFont="1" applyNumberFormat="1" borderId="11" fillId="40" fontId="48" numFmtId="3" xfId="6">
      <alignment horizontal="right" vertical="center"/>
    </xf>
    <xf applyAlignment="1" applyBorder="1" applyFill="1" applyFont="1" applyNumberFormat="1" borderId="11" fillId="2" fontId="48" numFmtId="3" xfId="6">
      <alignment horizontal="right" vertical="center"/>
    </xf>
    <xf applyAlignment="1" applyBorder="1" applyFill="1" applyFont="1" applyNumberFormat="1" borderId="1" fillId="2" fontId="48" numFmtId="3" xfId="6">
      <alignment horizontal="right" vertical="center"/>
    </xf>
    <xf applyAlignment="1" applyBorder="1" applyFill="1" applyFont="1" applyNumberFormat="1" borderId="0" fillId="46" fontId="34" numFmtId="3" xfId="6">
      <alignment horizontal="right" vertical="center"/>
    </xf>
    <xf applyAlignment="1" applyBorder="1" applyFill="1" applyFont="1" applyNumberFormat="1" borderId="2" fillId="2" fontId="48" numFmtId="3" xfId="6">
      <alignment horizontal="right" vertical="center"/>
    </xf>
    <xf applyAlignment="1" applyBorder="1" applyFill="1" applyFont="1" borderId="12" fillId="2" fontId="34" numFmtId="0" xfId="6">
      <alignment vertical="center"/>
    </xf>
    <xf applyAlignment="1" applyBorder="1" applyFill="1" applyFont="1" applyNumberFormat="1" borderId="6" fillId="46" fontId="34" numFmtId="173" xfId="6">
      <alignment horizontal="right" vertical="center"/>
    </xf>
    <xf applyAlignment="1" applyBorder="1" applyFill="1" applyFont="1" applyNumberFormat="1" borderId="10" fillId="40" fontId="34" numFmtId="173" xfId="6">
      <alignment horizontal="right" vertical="center"/>
    </xf>
    <xf applyAlignment="1" applyBorder="1" applyFill="1" applyFont="1" borderId="5" fillId="2" fontId="34" numFmtId="0" xfId="6">
      <alignment horizontal="right" vertical="center"/>
    </xf>
    <xf applyAlignment="1" applyBorder="1" applyFill="1" applyFont="1" applyNumberFormat="1" borderId="5" fillId="2" fontId="34" numFmtId="173" xfId="6">
      <alignment horizontal="right" vertical="center"/>
    </xf>
    <xf applyAlignment="1" applyBorder="1" applyFill="1" applyFont="1" applyNumberFormat="1" borderId="10" fillId="2" fontId="34" numFmtId="173" xfId="6">
      <alignment horizontal="right" vertical="center"/>
    </xf>
    <xf applyAlignment="1" applyBorder="1" applyFill="1" applyFont="1" applyNumberFormat="1" borderId="5" fillId="2" fontId="34" numFmtId="174" xfId="6">
      <alignment horizontal="right" vertical="center"/>
    </xf>
    <xf applyAlignment="1" applyBorder="1" applyFill="1" applyFont="1" applyNumberFormat="1" borderId="9" fillId="46" fontId="48" numFmtId="168" xfId="6">
      <alignment vertical="center"/>
    </xf>
    <xf applyAlignment="1" applyBorder="1" applyFill="1" applyFont="1" applyNumberFormat="1" borderId="11" fillId="40" fontId="48" numFmtId="168" xfId="6">
      <alignment vertical="center"/>
    </xf>
    <xf applyAlignment="1" applyBorder="1" applyFill="1" applyFont="1" applyNumberFormat="1" borderId="1" fillId="2" fontId="48" numFmtId="168" xfId="6">
      <alignment vertical="center"/>
    </xf>
    <xf applyAlignment="1" applyBorder="1" applyFill="1" applyFont="1" applyNumberFormat="1" borderId="11" fillId="2" fontId="48" numFmtId="168" xfId="6">
      <alignment vertical="center"/>
    </xf>
    <xf applyAlignment="1" applyBorder="1" applyFill="1" applyFont="1" applyNumberFormat="1" borderId="6" fillId="46" fontId="34" numFmtId="165" xfId="6">
      <alignment horizontal="right" vertical="center"/>
    </xf>
    <xf applyAlignment="1" applyBorder="1" applyFill="1" applyFont="1" applyNumberFormat="1" borderId="10" fillId="40" fontId="34" numFmtId="165" xfId="6">
      <alignment horizontal="right" vertical="center"/>
    </xf>
    <xf applyAlignment="1" applyBorder="1" applyFill="1" applyFont="1" applyNumberFormat="1" borderId="5" fillId="2" fontId="34" numFmtId="165" xfId="6">
      <alignment horizontal="right" vertical="center"/>
    </xf>
    <xf applyAlignment="1" applyBorder="1" applyFill="1" applyFont="1" applyNumberFormat="1" borderId="10" fillId="2" fontId="34" numFmtId="165" xfId="6">
      <alignment horizontal="right" vertical="center"/>
    </xf>
    <xf applyAlignment="1" applyBorder="1" applyFill="1" applyFont="1" borderId="9" fillId="2" fontId="34" numFmtId="0" xfId="6">
      <alignment vertical="center"/>
    </xf>
    <xf applyAlignment="1" applyBorder="1" applyFill="1" applyFont="1" applyNumberFormat="1" borderId="2" fillId="46" fontId="48" numFmtId="165" xfId="6">
      <alignment vertical="center"/>
    </xf>
    <xf applyAlignment="1" applyBorder="1" applyFill="1" applyFont="1" applyNumberFormat="1" borderId="11" fillId="40" fontId="48" numFmtId="165" xfId="6">
      <alignment vertical="center"/>
    </xf>
    <xf applyAlignment="1" applyBorder="1" applyFill="1" applyFont="1" applyNumberFormat="1" borderId="1" fillId="2" fontId="48" numFmtId="165" xfId="6">
      <alignment vertical="center"/>
    </xf>
    <xf applyAlignment="1" applyBorder="1" applyFill="1" applyFont="1" applyNumberFormat="1" borderId="11" fillId="2" fontId="48" numFmtId="165" xfId="6">
      <alignment vertical="center"/>
    </xf>
    <xf applyAlignment="1" applyBorder="1" applyFill="1" applyFont="1" borderId="3" fillId="16" fontId="49" numFmtId="0" xfId="6">
      <alignment vertical="center"/>
    </xf>
    <xf applyAlignment="1" applyBorder="1" applyFill="1" applyFont="1" applyNumberFormat="1" borderId="12" fillId="16" fontId="49" numFmtId="175" xfId="6">
      <alignment vertical="center"/>
    </xf>
    <xf applyAlignment="1" applyBorder="1" applyFill="1" applyFont="1" borderId="12" fillId="16" fontId="49" numFmtId="0" xfId="6">
      <alignment horizontal="right" vertical="center"/>
    </xf>
    <xf applyAlignment="1" applyBorder="1" applyFill="1" applyFont="1" borderId="12" fillId="16" fontId="49" numFmtId="0" xfId="6">
      <alignment vertical="center"/>
    </xf>
    <xf applyAlignment="1" applyBorder="1" applyFill="1" applyFont="1" borderId="4" fillId="16" fontId="49" numFmtId="0" xfId="6">
      <alignment vertical="center"/>
    </xf>
    <xf applyAlignment="1" applyBorder="1" applyFill="1" applyFont="1" borderId="1" fillId="27" fontId="49" numFmtId="0" xfId="6">
      <alignment vertical="center"/>
    </xf>
    <xf applyAlignment="1" applyBorder="1" applyFill="1" applyFont="1" applyNumberFormat="1" borderId="9" fillId="27" fontId="49" numFmtId="175" xfId="6">
      <alignment vertical="center"/>
    </xf>
    <xf applyAlignment="1" applyBorder="1" applyFill="1" applyFont="1" borderId="9" fillId="27" fontId="49" numFmtId="0" xfId="6">
      <alignment horizontal="centerContinuous" vertical="center"/>
    </xf>
    <xf applyAlignment="1" applyBorder="1" applyFill="1" applyFont="1" borderId="1" fillId="47" fontId="49" numFmtId="0" xfId="6">
      <alignment horizontal="centerContinuous" vertical="center"/>
    </xf>
    <xf applyAlignment="1" applyBorder="1" applyFill="1" applyFont="1" borderId="2" fillId="47" fontId="49" numFmtId="0" xfId="6">
      <alignment horizontal="centerContinuous" vertical="center"/>
    </xf>
    <xf applyAlignment="1" applyBorder="1" applyFill="1" applyFont="1" borderId="1" fillId="44" fontId="49" numFmtId="0" xfId="6">
      <alignment horizontal="centerContinuous" vertical="center"/>
    </xf>
    <xf applyAlignment="1" applyBorder="1" applyFill="1" applyFont="1" borderId="2" fillId="44" fontId="49" numFmtId="0" xfId="6">
      <alignment horizontal="centerContinuous" vertical="center"/>
    </xf>
    <xf applyAlignment="1" applyBorder="1" applyFill="1" applyFont="1" borderId="1" fillId="48" fontId="49" numFmtId="0" xfId="6">
      <alignment horizontal="centerContinuous" vertical="center"/>
    </xf>
    <xf applyAlignment="1" applyBorder="1" applyFill="1" applyFont="1" borderId="2" fillId="48" fontId="49" numFmtId="0" xfId="6">
      <alignment horizontal="centerContinuous" vertical="center"/>
    </xf>
    <xf applyAlignment="1" applyBorder="1" applyFill="1" applyFont="1" borderId="1" fillId="49" fontId="49" numFmtId="0" xfId="6">
      <alignment horizontal="centerContinuous" vertical="center"/>
    </xf>
    <xf applyAlignment="1" applyBorder="1" applyFill="1" applyFont="1" borderId="2" fillId="49" fontId="49" numFmtId="0" xfId="6">
      <alignment horizontal="centerContinuous" vertical="center"/>
    </xf>
    <xf applyAlignment="1" applyBorder="1" applyFill="1" applyFont="1" borderId="3" fillId="17" fontId="48" numFmtId="0" xfId="6">
      <alignment horizontal="left" vertical="center"/>
    </xf>
    <xf applyAlignment="1" applyBorder="1" applyFill="1" applyFont="1" applyNumberFormat="1" borderId="12" fillId="17" fontId="48" numFmtId="0" xfId="6">
      <alignment horizontal="right" vertical="center"/>
    </xf>
    <xf applyAlignment="1" applyBorder="1" applyFill="1" applyFont="1" borderId="11" fillId="17" fontId="48" numFmtId="0" xfId="6">
      <alignment horizontal="right" vertical="center"/>
    </xf>
    <xf applyAlignment="1" applyBorder="1" applyFill="1" applyFont="1" applyNumberFormat="1" borderId="12" fillId="2" fontId="34" numFmtId="175" xfId="6">
      <alignment horizontal="right" vertical="center"/>
    </xf>
    <xf applyAlignment="1" applyBorder="1" applyFill="1" applyFont="1" applyNumberFormat="1" borderId="13" fillId="2" fontId="34" numFmtId="174" xfId="6">
      <alignment horizontal="right" vertical="center"/>
    </xf>
    <xf applyAlignment="1" applyBorder="1" applyFill="1" applyFont="1" applyNumberFormat="1" borderId="0" fillId="2" fontId="34" numFmtId="175" xfId="6">
      <alignment horizontal="right" vertical="center"/>
    </xf>
    <xf applyAlignment="1" applyBorder="1" applyFill="1" applyFont="1" applyNumberFormat="1" borderId="10" fillId="2" fontId="34" numFmtId="174" xfId="6">
      <alignment horizontal="right" vertical="center"/>
    </xf>
    <xf applyAlignment="1" applyBorder="1" applyFill="1" applyFont="1" applyNumberFormat="1" borderId="17" fillId="2" fontId="34" numFmtId="175" xfId="6">
      <alignment horizontal="right" vertical="center"/>
    </xf>
    <xf applyAlignment="1" applyBorder="1" applyFill="1" applyFont="1" applyNumberFormat="1" borderId="18" fillId="2" fontId="34" numFmtId="174" xfId="6">
      <alignment horizontal="right" vertical="center"/>
    </xf>
    <xf applyAlignment="1" applyBorder="1" applyFill="1" applyFont="1" applyNumberFormat="1" borderId="7" fillId="2" fontId="34" numFmtId="173" xfId="6">
      <alignment horizontal="right" vertical="center"/>
    </xf>
    <xf applyAlignment="1" applyBorder="1" applyFill="1" applyFont="1" applyNumberFormat="1" borderId="18" fillId="2" fontId="34" numFmtId="165" xfId="6">
      <alignment horizontal="right" vertical="center"/>
    </xf>
    <xf applyAlignment="1" applyBorder="1" applyFill="1" applyFont="1" applyNumberFormat="1" borderId="18" fillId="2" fontId="34" numFmtId="173" xfId="6">
      <alignment horizontal="right" vertical="center"/>
    </xf>
    <xf applyAlignment="1" applyBorder="1" applyFill="1" applyFont="1" borderId="14" fillId="2" fontId="48" numFmtId="0" xfId="6">
      <alignment horizontal="left" vertical="center"/>
    </xf>
    <xf applyAlignment="1" applyBorder="1" applyFill="1" applyFont="1" applyNumberFormat="1" borderId="15" fillId="2" fontId="48" numFmtId="175" xfId="6">
      <alignment horizontal="right" vertical="center"/>
    </xf>
    <xf applyAlignment="1" applyBorder="1" applyFill="1" applyFont="1" applyNumberFormat="1" borderId="16" fillId="2" fontId="48" numFmtId="174" xfId="6">
      <alignment horizontal="right" vertical="center"/>
    </xf>
    <xf applyAlignment="1" applyBorder="1" applyFill="1" applyFont="1" applyNumberFormat="1" borderId="20" fillId="2" fontId="48" numFmtId="173" xfId="6">
      <alignment horizontal="right" vertical="center"/>
    </xf>
    <xf applyAlignment="1" applyBorder="1" applyFill="1" applyFont="1" applyNumberFormat="1" borderId="21" fillId="2" fontId="48" numFmtId="165" xfId="6">
      <alignment horizontal="right" vertical="center"/>
    </xf>
    <xf applyAlignment="1" applyBorder="1" applyFill="1" applyFont="1" borderId="7" fillId="2" fontId="50" numFmtId="0" xfId="6">
      <alignment horizontal="left" vertical="center"/>
    </xf>
    <xf applyAlignment="1" applyBorder="1" applyFill="1" applyFont="1" applyNumberFormat="1" borderId="17" fillId="2" fontId="50" numFmtId="175" xfId="6">
      <alignment horizontal="right" vertical="center"/>
    </xf>
    <xf applyAlignment="1" applyBorder="1" applyFill="1" applyFont="1" applyNumberFormat="1" borderId="18" fillId="2" fontId="50" numFmtId="3" xfId="6">
      <alignment horizontal="right" vertical="center"/>
    </xf>
    <xf applyAlignment="1" applyBorder="1" applyFill="1" applyFont="1" applyNumberFormat="1" borderId="7" fillId="2" fontId="50" numFmtId="173" xfId="6">
      <alignment horizontal="right" vertical="center"/>
    </xf>
    <xf applyAlignment="1" applyBorder="1" applyFill="1" applyFont="1" applyNumberFormat="1" borderId="18" fillId="2" fontId="50" numFmtId="165" xfId="6">
      <alignment horizontal="right" vertical="center"/>
    </xf>
    <xf applyAlignment="1" applyBorder="1" applyFill="1" applyFont="1" applyNumberFormat="1" borderId="5" fillId="4" fontId="9" numFmtId="164" xfId="8">
      <alignment horizontal="left"/>
    </xf>
    <xf applyAlignment="1" applyBorder="1" applyFill="1" applyFont="1" applyNumberFormat="1" borderId="0" fillId="4" fontId="9" numFmtId="164" xfId="8">
      <alignment horizontal="right"/>
    </xf>
    <xf applyAlignment="1" applyBorder="1" applyFill="1" applyFont="1" applyNumberFormat="1" borderId="5" fillId="4" fontId="9" numFmtId="164" xfId="8">
      <alignment horizontal="right"/>
    </xf>
    <xf applyAlignment="1" applyBorder="1" applyFill="1" applyFont="1" applyNumberFormat="1" borderId="6" fillId="4" fontId="9" numFmtId="164" xfId="8">
      <alignment horizontal="right"/>
    </xf>
    <xf applyAlignment="1" applyBorder="1" applyFill="1" applyFont="1" applyNumberFormat="1" borderId="5" fillId="7" fontId="10" numFmtId="164" xfId="8">
      <alignment horizontal="left"/>
    </xf>
    <xf applyAlignment="1" applyBorder="1" applyFill="1" applyFont="1" applyNumberFormat="1" borderId="0" fillId="7" fontId="10" numFmtId="164" xfId="8">
      <alignment horizontal="right"/>
    </xf>
    <xf applyAlignment="1" applyBorder="1" applyFill="1" applyFont="1" applyNumberFormat="1" borderId="5" fillId="7" fontId="10" numFmtId="164" xfId="8">
      <alignment horizontal="right"/>
    </xf>
    <xf applyAlignment="1" applyBorder="1" applyFill="1" applyFont="1" applyNumberFormat="1" borderId="6" fillId="7" fontId="10" numFmtId="164" xfId="8">
      <alignment horizontal="right"/>
    </xf>
    <xf applyAlignment="1" applyBorder="1" applyFill="1" applyFont="1" borderId="5" fillId="5" fontId="6" numFmtId="0" xfId="8">
      <alignment horizontal="left"/>
    </xf>
    <xf applyAlignment="1" applyBorder="1" applyFill="1" applyFont="1" borderId="0" fillId="5" fontId="6" numFmtId="0" xfId="8">
      <alignment horizontal="right"/>
    </xf>
    <xf applyAlignment="1" applyBorder="1" applyFill="1" borderId="5" fillId="6" fontId="6" numFmtId="0" xfId="8">
      <alignment horizontal="right"/>
    </xf>
    <xf applyAlignment="1" applyBorder="1" applyFill="1" applyFont="1" applyNumberFormat="1" borderId="0" fillId="5" fontId="6" numFmtId="164" xfId="8">
      <alignment horizontal="right"/>
    </xf>
    <xf applyAlignment="1" applyBorder="1" applyFill="1" applyFont="1" applyNumberFormat="1" borderId="0" fillId="5" fontId="6" numFmtId="165" xfId="8">
      <alignment horizontal="right"/>
    </xf>
    <xf applyAlignment="1" applyBorder="1" applyFill="1" applyFont="1" applyNumberFormat="1" borderId="6" fillId="5" fontId="6" numFmtId="165" xfId="8">
      <alignment horizontal="right"/>
    </xf>
    <xf applyBorder="1" applyFill="1" applyFont="1" borderId="0" fillId="5" fontId="6" numFmtId="0" xfId="8"/>
    <xf applyAlignment="1" applyFill="1" applyFont="1" borderId="0" fillId="0" fontId="1" numFmtId="0" xfId="6">
      <alignment vertical="center"/>
    </xf>
    <xf applyAlignment="1" applyBorder="1" applyFill="1" applyFont="1" borderId="5" fillId="2" fontId="53" numFmtId="0" xfId="6">
      <alignment horizontal="left" vertical="center"/>
    </xf>
    <xf applyAlignment="1" applyBorder="1" applyFill="1" applyFont="1" applyNumberFormat="1" borderId="0" fillId="2" fontId="53" numFmtId="3" xfId="6">
      <alignment horizontal="right" vertical="center"/>
    </xf>
    <xf applyAlignment="1" applyBorder="1" applyFill="1" applyFont="1" applyNumberFormat="1" borderId="10" fillId="2" fontId="53" numFmtId="168" xfId="6">
      <alignment horizontal="right" vertical="center"/>
    </xf>
    <xf applyAlignment="1" applyBorder="1" applyFill="1" applyFont="1" applyNumberFormat="1" borderId="5" fillId="2" fontId="53" numFmtId="168" xfId="6">
      <alignment horizontal="right" vertical="center"/>
    </xf>
    <xf applyAlignment="1" applyBorder="1" applyFill="1" applyFont="1" applyNumberFormat="1" borderId="10" fillId="2" fontId="53" numFmtId="164" xfId="6">
      <alignment horizontal="right" vertical="center"/>
    </xf>
    <xf applyAlignment="1" applyBorder="1" applyFill="1" applyFont="1" borderId="7" fillId="2" fontId="53" numFmtId="0" xfId="6">
      <alignment horizontal="left" vertical="center"/>
    </xf>
    <xf applyAlignment="1" applyBorder="1" applyFill="1" applyFont="1" applyNumberFormat="1" borderId="17" fillId="2" fontId="53" numFmtId="3" xfId="6">
      <alignment horizontal="right" vertical="center"/>
    </xf>
    <xf applyAlignment="1" applyBorder="1" applyFill="1" applyFont="1" applyNumberFormat="1" borderId="18" fillId="2" fontId="53" numFmtId="168" xfId="6">
      <alignment horizontal="right" vertical="center"/>
    </xf>
    <xf applyAlignment="1" applyBorder="1" applyFill="1" applyFont="1" applyNumberFormat="1" borderId="7" fillId="2" fontId="53" numFmtId="168" xfId="6">
      <alignment horizontal="right" vertical="center"/>
    </xf>
    <xf applyAlignment="1" applyBorder="1" applyFill="1" applyFont="1" applyNumberFormat="1" borderId="18" fillId="2" fontId="53" numFmtId="164" xfId="6">
      <alignment horizontal="right" vertical="center"/>
    </xf>
    <xf applyAlignment="1" applyBorder="1" applyFill="1" applyFont="1" applyNumberFormat="1" borderId="1" fillId="2" fontId="54" numFmtId="168" xfId="6">
      <alignment horizontal="left" vertical="center"/>
    </xf>
    <xf applyAlignment="1" applyBorder="1" applyFill="1" applyFont="1" applyNumberFormat="1" borderId="9" fillId="2" fontId="54" numFmtId="3" xfId="6">
      <alignment horizontal="right" vertical="center"/>
    </xf>
    <xf applyAlignment="1" applyBorder="1" applyFill="1" applyFont="1" applyNumberFormat="1" borderId="11" fillId="2" fontId="54" numFmtId="3" xfId="6">
      <alignment horizontal="right" vertical="center"/>
    </xf>
    <xf applyAlignment="1" applyBorder="1" applyFill="1" applyFont="1" applyNumberFormat="1" borderId="11" fillId="2" fontId="54" numFmtId="164" xfId="6">
      <alignment horizontal="right" vertical="center"/>
    </xf>
    <xf applyAlignment="1" applyBorder="1" applyFill="1" applyFont="1" applyNumberFormat="1" borderId="1" fillId="2" fontId="55" numFmtId="168" xfId="6">
      <alignment horizontal="left" vertical="center"/>
    </xf>
    <xf applyAlignment="1" applyBorder="1" applyFill="1" applyFont="1" applyNumberFormat="1" borderId="9" fillId="2" fontId="55" numFmtId="3" xfId="6">
      <alignment horizontal="right" vertical="center"/>
    </xf>
    <xf applyAlignment="1" applyBorder="1" applyFill="1" applyFont="1" applyNumberFormat="1" borderId="1" fillId="2" fontId="55" numFmtId="168" xfId="6">
      <alignment horizontal="right" vertical="center"/>
    </xf>
    <xf applyAlignment="1" applyBorder="1" applyFill="1" applyFont="1" applyNumberFormat="1" borderId="1" fillId="2" fontId="55" numFmtId="164" xfId="6">
      <alignment horizontal="right" vertical="center"/>
    </xf>
    <xf applyAlignment="1" applyBorder="1" applyFill="1" applyFont="1" applyNumberFormat="1" borderId="11" fillId="2" fontId="55" numFmtId="164" xfId="6">
      <alignment horizontal="right" vertical="center"/>
    </xf>
    <xf applyAlignment="1" applyBorder="1" applyFill="1" applyFont="1" applyNumberFormat="1" borderId="0" fillId="2" fontId="55" numFmtId="168" xfId="6">
      <alignment horizontal="left" vertical="center"/>
    </xf>
    <xf applyAlignment="1" applyBorder="1" applyFill="1" applyFont="1" applyNumberFormat="1" borderId="0" fillId="2" fontId="55" numFmtId="3" xfId="6">
      <alignment horizontal="right" vertical="center"/>
    </xf>
    <xf applyAlignment="1" applyBorder="1" applyFill="1" applyFont="1" applyNumberFormat="1" borderId="0" fillId="2" fontId="55" numFmtId="168" xfId="6">
      <alignment horizontal="right" vertical="center"/>
    </xf>
    <xf applyAlignment="1" applyBorder="1" applyFill="1" applyFont="1" applyNumberFormat="1" borderId="0" fillId="2" fontId="55" numFmtId="164" xfId="6">
      <alignment horizontal="right" vertical="center"/>
    </xf>
    <xf applyAlignment="1" applyBorder="1" applyFill="1" applyFont="1" borderId="5" fillId="44" fontId="51" numFmtId="0" xfId="6">
      <alignment horizontal="right" vertical="center"/>
    </xf>
    <xf applyAlignment="1" applyBorder="1" applyFill="1" applyFont="1" borderId="0" fillId="44" fontId="51" numFmtId="0" xfId="6">
      <alignment horizontal="left" vertical="center"/>
    </xf>
    <xf applyAlignment="1" applyBorder="1" applyFill="1" applyFont="1" borderId="0" fillId="44" fontId="51" numFmtId="0" xfId="6">
      <alignment horizontal="right" vertical="center"/>
    </xf>
    <xf applyAlignment="1" applyBorder="1" applyFill="1" applyFont="1" applyNumberFormat="1" borderId="11" fillId="31" fontId="51" numFmtId="168" xfId="6">
      <alignment horizontal="center" vertical="center"/>
    </xf>
    <xf applyAlignment="1" applyBorder="1" applyFill="1" applyFont="1" applyNumberFormat="1" borderId="11" fillId="50" fontId="51" numFmtId="168" xfId="6">
      <alignment horizontal="center" vertical="center" wrapText="1"/>
    </xf>
    <xf applyAlignment="1" applyBorder="1" applyFill="1" applyFont="1" applyNumberFormat="1" borderId="11" fillId="11" fontId="52" numFmtId="168" xfId="0">
      <alignment horizontal="center" vertical="center" wrapText="1"/>
    </xf>
    <xf applyAlignment="1" applyBorder="1" applyFill="1" applyFont="1" applyNumberFormat="1" borderId="11" fillId="12" fontId="52" numFmtId="168" xfId="0">
      <alignment horizontal="center" vertical="center" wrapText="1"/>
    </xf>
    <xf applyAlignment="1" applyBorder="1" applyFill="1" applyFont="1" borderId="5" fillId="41" fontId="17" numFmtId="0" xfId="6">
      <alignment vertical="center"/>
    </xf>
    <xf applyAlignment="1" applyBorder="1" applyFill="1" applyFont="1" borderId="0" fillId="41" fontId="17" numFmtId="0" xfId="6">
      <alignment vertical="center"/>
    </xf>
    <xf applyAlignment="1" applyBorder="1" applyFill="1" applyFont="1" borderId="5" fillId="39" fontId="0" numFmtId="0" xfId="6">
      <alignment vertical="center"/>
    </xf>
    <xf applyAlignment="1" applyBorder="1" applyFill="1" applyFont="1" borderId="0" fillId="2" fontId="33" numFmtId="0" xfId="6">
      <alignment vertical="center"/>
    </xf>
    <xf applyAlignment="1" applyBorder="1" applyFill="1" applyFont="1" applyNumberFormat="1" borderId="0" fillId="11" fontId="56" numFmtId="168" xfId="0">
      <alignment horizontal="left" vertical="center"/>
    </xf>
    <xf applyAlignment="1" applyBorder="1" applyFill="1" applyFont="1" applyNumberFormat="1" borderId="5" fillId="11" fontId="56" numFmtId="168" xfId="0">
      <alignment horizontal="left" vertical="center"/>
    </xf>
    <xf applyAlignment="1" applyBorder="1" applyFill="1" applyFont="1" applyNumberFormat="1" borderId="11" fillId="11" fontId="52" numFmtId="164" xfId="0">
      <alignment horizontal="center" vertical="center" wrapText="1"/>
    </xf>
    <xf applyAlignment="1" applyBorder="1" applyFill="1" applyFont="1" applyNumberFormat="1" borderId="11" fillId="31" fontId="51" numFmtId="164" xfId="6">
      <alignment horizontal="center" vertical="center" wrapText="1"/>
    </xf>
    <xf applyAlignment="1" applyBorder="1" applyFill="1" applyFont="1" applyNumberFormat="1" borderId="11" fillId="50" fontId="51" numFmtId="164" xfId="6">
      <alignment horizontal="center" vertical="center" wrapText="1"/>
    </xf>
    <xf applyAlignment="1" applyBorder="1" applyFill="1" applyFont="1" applyNumberFormat="1" borderId="11" fillId="12" fontId="52" numFmtId="164" xfId="0">
      <alignment horizontal="center" vertical="center" wrapText="1"/>
    </xf>
    <xf applyAlignment="1" applyBorder="1" applyFill="1" applyFont="1" borderId="7" fillId="42" fontId="0" numFmtId="0" xfId="6">
      <alignment horizontal="left" vertical="center"/>
    </xf>
    <xf applyAlignment="1" applyBorder="1" applyFill="1" applyFont="1" borderId="1" fillId="40" fontId="11" numFmtId="0" xfId="6">
      <alignment vertical="center"/>
    </xf>
    <xf applyAlignment="1" applyBorder="1" applyFill="1" applyFont="1" borderId="9" fillId="40" fontId="11" numFmtId="0" xfId="6">
      <alignment vertical="center"/>
    </xf>
    <xf applyAlignment="1" applyBorder="1" applyFill="1" applyFont="1" applyNumberFormat="1" borderId="9" fillId="40" fontId="11" numFmtId="3" xfId="6">
      <alignment vertical="center"/>
    </xf>
    <xf applyAlignment="1" applyBorder="1" applyFill="1" applyFont="1" borderId="1" fillId="45" fontId="4" numFmtId="0" xfId="6">
      <alignment horizontal="left" vertical="center"/>
    </xf>
    <xf applyAlignment="1" applyBorder="1" applyFill="1" applyFont="1" borderId="9" fillId="45" fontId="4" numFmtId="0" xfId="6">
      <alignment horizontal="left" vertical="center"/>
    </xf>
    <xf applyAlignment="1" applyBorder="1" applyFill="1" applyFont="1" borderId="9" fillId="45" fontId="4" numFmtId="0" xfId="6">
      <alignment horizontal="right" vertical="center"/>
    </xf>
    <xf applyAlignment="1" applyBorder="1" applyFill="1" applyFont="1" applyNumberFormat="1" borderId="0" fillId="11" fontId="56" numFmtId="168" xfId="0">
      <alignment horizontal="right" vertical="center"/>
    </xf>
    <xf applyAlignment="1" applyBorder="1" applyFill="1" applyFont="1" applyNumberFormat="1" borderId="9" fillId="40" fontId="11" numFmtId="168" xfId="6">
      <alignment horizontal="right" vertical="center"/>
    </xf>
    <xf applyAlignment="1" applyBorder="1" applyFill="1" applyFont="1" applyNumberFormat="1" borderId="0" fillId="41" fontId="17" numFmtId="168" xfId="6">
      <alignment horizontal="right" vertical="center"/>
    </xf>
    <xf applyAlignment="1" applyBorder="1" applyFill="1" applyFont="1" applyNumberFormat="1" borderId="9" fillId="45" fontId="4" numFmtId="168" xfId="6">
      <alignment horizontal="right" vertical="center"/>
    </xf>
    <xf applyAlignment="1" applyBorder="1" applyFill="1" applyFont="1" applyNumberFormat="1" borderId="1" fillId="40" fontId="11" numFmtId="168" xfId="6">
      <alignment horizontal="right" vertical="center"/>
    </xf>
    <xf applyAlignment="1" applyBorder="1" applyFill="1" applyFont="1" applyNumberFormat="1" borderId="5" fillId="11" fontId="56" numFmtId="168" xfId="0">
      <alignment horizontal="right" vertical="center"/>
    </xf>
    <xf applyAlignment="1" applyBorder="1" applyFill="1" applyFont="1" applyNumberFormat="1" borderId="5" fillId="41" fontId="17" numFmtId="168" xfId="6">
      <alignment horizontal="right" vertical="center"/>
    </xf>
    <xf applyAlignment="1" applyBorder="1" applyFill="1" applyFont="1" applyNumberFormat="1" borderId="1" fillId="45" fontId="4" numFmtId="168" xfId="6">
      <alignment horizontal="right" vertical="center"/>
    </xf>
    <xf applyAlignment="1" applyBorder="1" applyFill="1" applyFont="1" applyNumberFormat="1" borderId="11" fillId="40" fontId="11" numFmtId="168" xfId="6">
      <alignment horizontal="right" vertical="center"/>
    </xf>
    <xf applyAlignment="1" applyBorder="1" applyFill="1" applyFont="1" applyNumberFormat="1" borderId="10" fillId="11" fontId="56" numFmtId="168" xfId="0">
      <alignment horizontal="right" vertical="center"/>
    </xf>
    <xf applyAlignment="1" applyBorder="1" applyFill="1" applyFont="1" applyNumberFormat="1" borderId="10" fillId="41" fontId="17" numFmtId="168" xfId="6">
      <alignment horizontal="right" vertical="center"/>
    </xf>
    <xf applyAlignment="1" applyBorder="1" applyFill="1" applyFont="1" applyNumberFormat="1" borderId="11" fillId="45" fontId="4" numFmtId="168" xfId="6">
      <alignment horizontal="right" vertical="center"/>
    </xf>
    <xf applyAlignment="1" applyBorder="1" applyFill="1" applyFont="1" borderId="0" fillId="44" fontId="2" numFmtId="0" xfId="6">
      <alignment horizontal="left" vertical="center"/>
    </xf>
    <xf applyAlignment="1" applyBorder="1" applyFill="1" applyFont="1" applyNumberFormat="1" borderId="11" fillId="11" fontId="30" numFmtId="168" xfId="0">
      <alignment horizontal="center" vertical="center" wrapText="1"/>
    </xf>
    <xf applyAlignment="1" applyBorder="1" applyFill="1" applyFont="1" applyNumberFormat="1" borderId="11" fillId="11" fontId="30" numFmtId="164" xfId="0">
      <alignment horizontal="center" vertical="center" wrapText="1"/>
    </xf>
    <xf applyAlignment="1" applyBorder="1" applyFill="1" applyFont="1" applyNumberFormat="1" borderId="11" fillId="12" fontId="30" numFmtId="168" xfId="0">
      <alignment horizontal="center" vertical="center" wrapText="1"/>
    </xf>
    <xf applyAlignment="1" applyBorder="1" applyFill="1" applyFont="1" applyNumberFormat="1" borderId="11" fillId="12" fontId="30" numFmtId="164" xfId="0">
      <alignment horizontal="center" vertical="center" wrapText="1"/>
    </xf>
    <xf applyAlignment="1" applyBorder="1" applyFill="1" applyFont="1" applyNumberFormat="1" borderId="11" fillId="50" fontId="2" numFmtId="168" xfId="6">
      <alignment horizontal="center" vertical="center" wrapText="1"/>
    </xf>
    <xf applyAlignment="1" applyBorder="1" applyFill="1" applyFont="1" applyNumberFormat="1" borderId="11" fillId="50" fontId="2" numFmtId="164" xfId="6">
      <alignment horizontal="center" vertical="center" wrapText="1"/>
    </xf>
    <xf applyAlignment="1" applyBorder="1" applyFill="1" applyFont="1" applyNumberFormat="1" borderId="11" fillId="31" fontId="2" numFmtId="168" xfId="6">
      <alignment horizontal="center" vertical="center"/>
    </xf>
    <xf applyAlignment="1" applyBorder="1" applyFill="1" applyFont="1" applyNumberFormat="1" borderId="11" fillId="31" fontId="2" numFmtId="164" xfId="6">
      <alignment horizontal="center" vertical="center" wrapText="1"/>
    </xf>
    <xf applyAlignment="1" applyBorder="1" applyFill="1" applyFont="1" borderId="3" fillId="44" fontId="2" numFmtId="0" xfId="6">
      <alignment vertical="center"/>
    </xf>
    <xf applyAlignment="1" applyBorder="1" applyFill="1" applyFont="1" borderId="12" fillId="44" fontId="2" numFmtId="0" xfId="6">
      <alignment vertical="center"/>
    </xf>
    <xf applyAlignment="1" applyBorder="1" applyFill="1" applyFont="1" borderId="12" fillId="44" fontId="2" numFmtId="0" xfId="6">
      <alignment horizontal="right" vertical="center"/>
    </xf>
    <xf applyAlignment="1" applyBorder="1" applyFill="1" applyFont="1" borderId="3" fillId="44" fontId="2" numFmtId="0" xfId="6">
      <alignment horizontal="right" vertical="center"/>
    </xf>
    <xf applyAlignment="1" applyBorder="1" applyFill="1" applyFont="1" borderId="13" fillId="44" fontId="2" numFmtId="0" xfId="6">
      <alignment horizontal="right" vertical="center"/>
    </xf>
    <xf applyAlignment="1" applyBorder="1" applyFill="1" applyFont="1" borderId="0" fillId="39" fontId="0" numFmtId="0" xfId="6">
      <alignment vertical="center"/>
    </xf>
    <xf applyAlignment="1" applyBorder="1" applyFill="1" applyFont="1" applyNumberFormat="1" borderId="0" fillId="39" fontId="0" numFmtId="168" xfId="6">
      <alignment horizontal="right" vertical="center"/>
    </xf>
    <xf applyAlignment="1" applyBorder="1" applyFill="1" applyFont="1" applyNumberFormat="1" borderId="5" fillId="39" fontId="0" numFmtId="168" xfId="6">
      <alignment horizontal="right" vertical="center"/>
    </xf>
    <xf applyAlignment="1" applyBorder="1" applyFill="1" applyFont="1" applyNumberFormat="1" borderId="10" fillId="39" fontId="0" numFmtId="168" xfId="6">
      <alignment horizontal="right" vertical="center"/>
    </xf>
    <xf applyAlignment="1" applyBorder="1" applyFill="1" applyFont="1" borderId="17" fillId="42" fontId="0" numFmtId="0" xfId="6">
      <alignment horizontal="left" vertical="center"/>
    </xf>
    <xf applyAlignment="1" applyBorder="1" applyFill="1" applyFont="1" borderId="17" fillId="42" fontId="0" numFmtId="0" xfId="6">
      <alignment horizontal="right" vertical="center"/>
    </xf>
    <xf applyAlignment="1" applyBorder="1" applyFill="1" applyFont="1" applyNumberFormat="1" borderId="17" fillId="42" fontId="0" numFmtId="168" xfId="6">
      <alignment horizontal="right" vertical="center"/>
    </xf>
    <xf applyAlignment="1" applyBorder="1" applyFill="1" applyFont="1" applyNumberFormat="1" borderId="7" fillId="42" fontId="0" numFmtId="168" xfId="6">
      <alignment horizontal="right" vertical="center"/>
    </xf>
    <xf applyAlignment="1" applyBorder="1" applyFill="1" applyFont="1" applyNumberFormat="1" borderId="18" fillId="42" fontId="0" numFmtId="168" xfId="6">
      <alignment horizontal="right" vertical="center"/>
    </xf>
    <xf applyAlignment="1" applyFill="1" applyFont="1" borderId="0" fillId="2" fontId="0" numFmtId="0" xfId="6">
      <alignment vertical="center"/>
    </xf>
    <xf applyAlignment="1" applyFill="1" applyFont="1" borderId="0" fillId="2" fontId="57" numFmtId="0" xfId="3">
      <alignment horizontal="left" vertical="center"/>
    </xf>
    <xf applyAlignment="1" applyFill="1" applyFont="1" borderId="0" fillId="3" fontId="58" numFmtId="0" xfId="2">
      <alignment horizontal="left" vertical="center"/>
    </xf>
    <xf applyAlignment="1" applyBorder="1" applyFill="1" applyFont="1" applyProtection="1" borderId="0" fillId="2" fontId="58" numFmtId="0" xfId="3">
      <alignment horizontal="left" vertical="center"/>
    </xf>
    <xf applyAlignment="1" applyBorder="1" applyFill="1" applyFont="1" borderId="0" fillId="44" fontId="2" numFmtId="0" xfId="6">
      <alignment horizontal="center" vertical="center"/>
    </xf>
    <xf applyAlignment="1" applyBorder="1" applyFill="1" applyFont="1" borderId="5" fillId="44" fontId="2" numFmtId="0" xfId="6">
      <alignment horizontal="center" vertical="center" wrapText="1"/>
    </xf>
    <xf applyAlignment="1" applyFill="1" applyFont="1" borderId="0" fillId="2" fontId="59" numFmtId="0" xfId="6">
      <alignment horizontal="left" vertical="center" wrapText="1"/>
    </xf>
    <xf applyAlignment="1" applyFill="1" applyFont="1" borderId="0" fillId="2" fontId="53" numFmtId="0" xfId="6">
      <alignment vertical="center"/>
    </xf>
    <xf applyAlignment="1" applyFill="1" applyFont="1" borderId="0" fillId="2" fontId="59" numFmtId="0" xfId="6">
      <alignment horizontal="left" vertical="center" wrapText="1"/>
    </xf>
    <xf applyAlignment="1" applyFill="1" applyFont="1" borderId="0" fillId="2" fontId="59" numFmtId="0" xfId="6">
      <alignment vertical="center" wrapText="1"/>
    </xf>
    <xf applyAlignment="1" applyFill="1" applyFont="1" borderId="0" fillId="2" fontId="59" numFmtId="0" xfId="6">
      <alignment vertical="center"/>
    </xf>
    <xf applyAlignment="1" applyBorder="1" applyFill="1" applyFont="1" borderId="6" fillId="2" fontId="42" numFmtId="0" xfId="6">
      <alignment horizontal="right" vertical="center"/>
    </xf>
    <xf applyAlignment="1" applyBorder="1" applyFill="1" applyFont="1" borderId="3" fillId="2" fontId="42" numFmtId="0" xfId="6">
      <alignment horizontal="left" vertical="center"/>
    </xf>
    <xf applyAlignment="1" applyBorder="1" applyFill="1" applyFont="1" borderId="4" fillId="2" fontId="42" numFmtId="0" xfId="6">
      <alignment horizontal="right" vertical="center"/>
    </xf>
    <xf applyAlignment="1" applyBorder="1" applyFill="1" applyFont="1" borderId="5" fillId="2" fontId="42" numFmtId="0" xfId="6">
      <alignment horizontal="left" vertical="center"/>
    </xf>
    <xf applyAlignment="1" applyBorder="1" applyFill="1" applyFont="1" borderId="7" fillId="2" fontId="42" numFmtId="0" xfId="6">
      <alignment horizontal="left" vertical="center"/>
    </xf>
    <xf applyAlignment="1" applyBorder="1" applyFill="1" applyFont="1" borderId="8" fillId="2" fontId="42" numFmtId="0" xfId="6">
      <alignment horizontal="right" vertical="center"/>
    </xf>
    <xf applyAlignment="1" applyBorder="1" applyFill="1" applyFont="1" borderId="10" fillId="2" fontId="0" numFmtId="0" xfId="0">
      <alignment horizontal="right" vertical="center"/>
    </xf>
    <xf applyAlignment="1" applyBorder="1" applyFill="1" applyFont="1" borderId="18" fillId="2" fontId="0" numFmtId="0" xfId="0">
      <alignment horizontal="right" vertical="center"/>
    </xf>
    <xf applyAlignment="1" applyBorder="1" applyFill="1" applyFont="1" borderId="5" fillId="2" fontId="0" numFmtId="0" xfId="0">
      <alignment vertical="center"/>
    </xf>
    <xf applyAlignment="1" applyBorder="1" applyFill="1" applyFont="1" borderId="7" fillId="2" fontId="0" numFmtId="0" xfId="0">
      <alignment vertical="center"/>
    </xf>
    <xf applyAlignment="1" applyBorder="1" applyFill="1" applyFont="1" borderId="17" fillId="2" fontId="0" numFmtId="0" xfId="0">
      <alignment vertical="center"/>
    </xf>
    <xf applyAlignment="1" applyBorder="1" applyFill="1" applyFont="1" applyNumberFormat="1" borderId="17" fillId="2" fontId="0" numFmtId="168" xfId="0">
      <alignment vertical="center"/>
    </xf>
    <xf applyAlignment="1" applyBorder="1" applyFill="1" applyFont="1" applyNumberFormat="1" borderId="17" fillId="2" fontId="0" numFmtId="164" xfId="0">
      <alignment vertical="center"/>
    </xf>
    <xf applyAlignment="1" applyBorder="1" applyFill="1" applyFont="1" borderId="17" fillId="2" fontId="0" numFmtId="0" xfId="0">
      <alignment horizontal="right" vertical="center"/>
    </xf>
    <xf applyAlignment="1" applyFill="1" applyFont="1" applyNumberFormat="1" borderId="0" fillId="2" fontId="1" numFmtId="3" xfId="4">
      <alignment vertical="center"/>
    </xf>
    <xf applyAlignment="1" applyBorder="1" applyFill="1" applyFont="1" borderId="1" fillId="44" fontId="2" numFmtId="0" xfId="6">
      <alignment vertical="center"/>
    </xf>
    <xf applyAlignment="1" applyBorder="1" applyFill="1" applyFont="1" borderId="9" fillId="44" fontId="2" numFmtId="0" xfId="6">
      <alignment vertical="center"/>
    </xf>
    <xf applyAlignment="1" applyBorder="1" applyFill="1" applyFont="1" borderId="9" fillId="44" fontId="2" numFmtId="0" xfId="6">
      <alignment horizontal="right" vertical="center"/>
    </xf>
    <xf applyAlignment="1" applyBorder="1" applyFill="1" applyFont="1" borderId="1" fillId="44" fontId="2" numFmtId="0" xfId="6">
      <alignment horizontal="right" vertical="center"/>
    </xf>
    <xf applyAlignment="1" applyBorder="1" applyFill="1" applyFont="1" borderId="5" fillId="2" fontId="0" numFmtId="0" xfId="0">
      <alignment horizontal="right" vertical="center"/>
    </xf>
    <xf applyAlignment="1" applyBorder="1" applyFill="1" applyFont="1" borderId="11" fillId="44" fontId="2" numFmtId="0" xfId="6">
      <alignment horizontal="right" vertical="center"/>
    </xf>
    <xf applyAlignment="1" applyBorder="1" applyFill="1" applyFont="1" borderId="7" fillId="2" fontId="0" numFmtId="0" xfId="0">
      <alignment horizontal="right" vertical="center"/>
    </xf>
  </cellXfs>
  <cellStyles count="10">
    <cellStyle name="Currency 2" xfId="9" xr:uid="{B6346217-5F10-4DD9-ACC5-40BF28ED36AD}"/>
    <cellStyle builtinId="53" name="Explanatory Text" xfId="2"/>
    <cellStyle name="Explanatory Text 2" xfId="7" xr:uid="{4CEB8C5C-BB47-4CF4-A576-CCF2D23A92E6}"/>
    <cellStyle builtinId="0" name="Normal" xfId="0"/>
    <cellStyle name="Normal 2" xfId="8" xr:uid="{91EB6ECC-668E-490D-B10D-A1C4E73A3B13}"/>
    <cellStyle name="Normal 2 2" xfId="3" xr:uid="{3E231BDA-092B-4133-AA11-95A039B0B406}"/>
    <cellStyle name="Normal 2 2 2" xfId="4" xr:uid="{674171B2-F540-45B3-9F99-B94F00342D59}"/>
    <cellStyle name="Normal 2 3" xfId="6" xr:uid="{79980A66-48AB-47F4-94B1-ED5E52108F43}"/>
    <cellStyle name="Normal 3" xfId="5" xr:uid="{B77D6166-B570-4B5B-8969-33CB67BA31AC}"/>
    <cellStyle builtinId="5" name="Percent" xfId="1"/>
  </cellStyles>
  <dxfs count="11">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9" tint="0.79998168889431442"/>
        </patternFill>
      </fill>
    </dxf>
    <dxf>
      <font>
        <color rgb="FFFF0000"/>
      </font>
    </dxf>
    <dxf>
      <fill>
        <patternFill>
          <bgColor theme="0" tint="-4.9989318521683403E-2"/>
        </patternFill>
      </fill>
    </dxf>
    <dxf>
      <fill>
        <patternFill>
          <bgColor theme="9" tint="0.39994506668294322"/>
        </patternFill>
      </fill>
    </dxf>
    <dxf>
      <font>
        <color rgb="FF00B050"/>
      </font>
    </dxf>
    <dxf>
      <font>
        <color rgb="FFFF0000"/>
      </font>
    </dxf>
  </dxfs>
  <tableStyles count="0" defaultPivotStyle="PivotStyleLight16" defaultTableStyle="TableStyleMedium2"/>
  <colors>
    <mruColors>
      <color rgb="FFF0F3FA"/>
      <color rgb="FFF8F8F8"/>
      <color rgb="FFE43A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externalLinks/externalLink1.xml" Type="http://schemas.openxmlformats.org/officeDocument/2006/relationships/externalLink"/><Relationship Id="rId14" Target="externalLinks/externalLink2.xml" Type="http://schemas.openxmlformats.org/officeDocument/2006/relationships/externalLink"/><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18"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charts/_rels/chart1.xml.rels><?xml version="1.0" encoding="UTF-8" standalone="no"?><Relationships xmlns="http://schemas.openxmlformats.org/package/2006/relationships"><Relationship Id="rId1" Target="style1.xml" Type="http://schemas.microsoft.com/office/2011/relationships/chartStyle"/><Relationship Id="rId2" Target="colors1.xml" Type="http://schemas.microsoft.com/office/2011/relationships/chartColorStyle"/></Relationships>
</file>

<file path=xl/charts/chart1.xml><?xml version="1.0" encoding="utf-8"?>
<c:chartSpace xmlns:a="http://schemas.openxmlformats.org/drawingml/2006/main" xmlns:c="http://schemas.openxmlformats.org/drawingml/2006/chart" xmlns:c16r2="http://schemas.microsoft.com/office/drawing/2015/06/chart"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nchor="ctr" anchorCtr="1" rot="0" spcFirstLastPara="1" vert="horz" vertOverflow="ellipsis" wrap="square"/>
          <a:lstStyle/>
          <a:p>
            <a:pPr>
              <a:defRPr b="0" baseline="0" i="0" kern="1200" spc="0" strike="noStrike" sz="1400" u="none">
                <a:solidFill>
                  <a:schemeClr val="tx1">
                    <a:lumMod val="65000"/>
                    <a:lumOff val="35000"/>
                  </a:schemeClr>
                </a:solidFill>
                <a:latin typeface="+mn-lt"/>
                <a:ea typeface="+mn-ea"/>
                <a:cs typeface="+mn-cs"/>
              </a:defRPr>
            </a:pPr>
            <a:r>
              <a:rPr lang="en-US"/>
              <a:t>Average Market Rents by Unit Type</a:t>
            </a:r>
          </a:p>
        </c:rich>
      </c:tx>
      <c:overlay val="0"/>
      <c:spPr>
        <a:noFill/>
        <a:ln>
          <a:noFill/>
        </a:ln>
        <a:effectLst/>
      </c:spPr>
      <c:txPr>
        <a:bodyPr anchor="ctr" anchorCtr="1" rot="0" spcFirstLastPara="1" vert="horz" vertOverflow="ellipsis" wrap="square"/>
        <a:lstStyle/>
        <a:p>
          <a:pPr>
            <a:defRPr b="0" baseline="0" i="0" kern="1200" spc="0" strike="noStrike" sz="1400" u="none">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'Market Analysis'!$B$9</c:f>
              <c:strCache>
                <c:ptCount val="1"/>
                <c:pt idx="0">
                  <c:v>Subject Property</c:v>
                </c:pt>
              </c:strCache>
            </c:strRef>
          </c:tx>
          <c:spPr>
            <a:solidFill>
              <a:schemeClr val="accent6">
                <a:lumMod val="40000"/>
                <a:lumOff val="60000"/>
              </a:schemeClr>
            </a:solidFill>
            <a:ln>
              <a:noFill/>
            </a:ln>
            <a:effectLst/>
          </c:spPr>
          <c:invertIfNegative val="0"/>
          <c:cat>
            <c:strRef>
              <c:f>'Market Analysis'!$H$8:$L$8</c:f>
              <c:strCache>
                <c:ptCount val="5"/>
                <c:pt idx="0">
                  <c:v>Studio</c:v>
                </c:pt>
                <c:pt idx="1">
                  <c:v>1BR</c:v>
                </c:pt>
                <c:pt idx="2">
                  <c:v>2BR</c:v>
                </c:pt>
                <c:pt idx="3">
                  <c:v>3BR</c:v>
                </c:pt>
                <c:pt idx="4">
                  <c:v>4BR</c:v>
                </c:pt>
              </c:strCache>
            </c:strRef>
          </c:cat>
          <c:val>
            <c:numRef>
              <c:f>'Market Analysis'!$H$9:$L$9</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56E3-4CAE-A552-CB9D3D58AC1C}"/>
            </c:ext>
          </c:extLst>
        </c:ser>
        <c:ser>
          <c:idx val="1"/>
          <c:order val="1"/>
          <c:tx>
            <c:strRef>
              <c:f>'Market Analysis'!$B$10</c:f>
              <c:strCache>
                <c:ptCount val="1"/>
                <c:pt idx="0">
                  <c:v>Enodo Prediction</c:v>
                </c:pt>
              </c:strCache>
            </c:strRef>
          </c:tx>
          <c:spPr>
            <a:solidFill>
              <a:schemeClr val="accent6"/>
            </a:solidFill>
            <a:ln>
              <a:noFill/>
            </a:ln>
            <a:effectLst/>
          </c:spPr>
          <c:invertIfNegative val="0"/>
          <c:cat>
            <c:strRef>
              <c:f>'Market Analysis'!$H$8:$L$8</c:f>
              <c:strCache>
                <c:ptCount val="5"/>
                <c:pt idx="0">
                  <c:v>Studio</c:v>
                </c:pt>
                <c:pt idx="1">
                  <c:v>1BR</c:v>
                </c:pt>
                <c:pt idx="2">
                  <c:v>2BR</c:v>
                </c:pt>
                <c:pt idx="3">
                  <c:v>3BR</c:v>
                </c:pt>
                <c:pt idx="4">
                  <c:v>4BR</c:v>
                </c:pt>
              </c:strCache>
            </c:strRef>
          </c:cat>
          <c:val>
            <c:numRef>
              <c:f>'Market Analysis'!$H$10:$L$10</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1-56E3-4CAE-A552-CB9D3D58AC1C}"/>
            </c:ext>
          </c:extLst>
        </c:ser>
        <c:ser>
          <c:idx val="2"/>
          <c:order val="2"/>
          <c:tx>
            <c:strRef>
              <c:f>'Market Analysis'!$B$11</c:f>
              <c:strCache>
                <c:ptCount val="1"/>
                <c:pt idx="0">
                  <c:v>Selected Comps</c:v>
                </c:pt>
              </c:strCache>
            </c:strRef>
          </c:tx>
          <c:spPr>
            <a:solidFill>
              <a:schemeClr val="accent2">
                <a:lumMod val="60000"/>
                <a:lumOff val="40000"/>
              </a:schemeClr>
            </a:solidFill>
            <a:ln>
              <a:noFill/>
            </a:ln>
            <a:effectLst/>
          </c:spPr>
          <c:invertIfNegative val="0"/>
          <c:cat>
            <c:strRef>
              <c:f>'Market Analysis'!$H$8:$L$8</c:f>
              <c:strCache>
                <c:ptCount val="5"/>
                <c:pt idx="0">
                  <c:v>Studio</c:v>
                </c:pt>
                <c:pt idx="1">
                  <c:v>1BR</c:v>
                </c:pt>
                <c:pt idx="2">
                  <c:v>2BR</c:v>
                </c:pt>
                <c:pt idx="3">
                  <c:v>3BR</c:v>
                </c:pt>
                <c:pt idx="4">
                  <c:v>4BR</c:v>
                </c:pt>
              </c:strCache>
            </c:strRef>
          </c:cat>
          <c:val>
            <c:numRef>
              <c:f>'Market Analysis'!$H$11:$L$11</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2-56E3-4CAE-A552-CB9D3D58AC1C}"/>
            </c:ext>
          </c:extLst>
        </c:ser>
        <c:ser>
          <c:idx val="3"/>
          <c:order val="3"/>
          <c:tx>
            <c:strRef>
              <c:f>'Market Analysis'!$B$12</c:f>
              <c:strCache>
                <c:ptCount val="1"/>
                <c:pt idx="0">
                  <c:v>Similar Properties</c:v>
                </c:pt>
              </c:strCache>
            </c:strRef>
          </c:tx>
          <c:spPr>
            <a:solidFill>
              <a:schemeClr val="accent4">
                <a:lumMod val="60000"/>
                <a:lumOff val="40000"/>
              </a:schemeClr>
            </a:solidFill>
            <a:ln>
              <a:noFill/>
            </a:ln>
            <a:effectLst/>
          </c:spPr>
          <c:invertIfNegative val="0"/>
          <c:cat>
            <c:strRef>
              <c:f>'Market Analysis'!$H$8:$L$8</c:f>
              <c:strCache>
                <c:ptCount val="5"/>
                <c:pt idx="0">
                  <c:v>Studio</c:v>
                </c:pt>
                <c:pt idx="1">
                  <c:v>1BR</c:v>
                </c:pt>
                <c:pt idx="2">
                  <c:v>2BR</c:v>
                </c:pt>
                <c:pt idx="3">
                  <c:v>3BR</c:v>
                </c:pt>
                <c:pt idx="4">
                  <c:v>4BR</c:v>
                </c:pt>
              </c:strCache>
            </c:strRef>
          </c:cat>
          <c:val>
            <c:numRef>
              <c:f>'Market Analysis'!$H$12:$L$12</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3-56E3-4CAE-A552-CB9D3D58AC1C}"/>
            </c:ext>
          </c:extLst>
        </c:ser>
        <c:ser>
          <c:idx val="4"/>
          <c:order val="4"/>
          <c:tx>
            <c:strRef>
              <c:f>'Market Analysis'!$B$13</c:f>
              <c:strCache>
                <c:ptCount val="1"/>
                <c:pt idx="0">
                  <c:v>Market Area</c:v>
                </c:pt>
              </c:strCache>
            </c:strRef>
          </c:tx>
          <c:spPr>
            <a:solidFill>
              <a:schemeClr val="accent5">
                <a:lumMod val="60000"/>
                <a:lumOff val="40000"/>
              </a:schemeClr>
            </a:solidFill>
            <a:ln>
              <a:noFill/>
            </a:ln>
            <a:effectLst/>
          </c:spPr>
          <c:invertIfNegative val="0"/>
          <c:cat>
            <c:strRef>
              <c:f>'Market Analysis'!$H$8:$L$8</c:f>
              <c:strCache>
                <c:ptCount val="5"/>
                <c:pt idx="0">
                  <c:v>Studio</c:v>
                </c:pt>
                <c:pt idx="1">
                  <c:v>1BR</c:v>
                </c:pt>
                <c:pt idx="2">
                  <c:v>2BR</c:v>
                </c:pt>
                <c:pt idx="3">
                  <c:v>3BR</c:v>
                </c:pt>
                <c:pt idx="4">
                  <c:v>4BR</c:v>
                </c:pt>
              </c:strCache>
            </c:strRef>
          </c:cat>
          <c:val>
            <c:numRef>
              <c:f>'Market Analysis'!$H$13:$L$13</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4-56E3-4CAE-A552-CB9D3D58AC1C}"/>
            </c:ext>
          </c:extLst>
        </c:ser>
        <c:dLbls>
          <c:showLegendKey val="0"/>
          <c:showVal val="0"/>
          <c:showCatName val="0"/>
          <c:showSerName val="0"/>
          <c:showPercent val="0"/>
          <c:showBubbleSize val="0"/>
        </c:dLbls>
        <c:gapWidth val="219"/>
        <c:overlap val="-27"/>
        <c:axId val="149689920"/>
        <c:axId val="992397872"/>
      </c:barChart>
      <c:catAx>
        <c:axId val="149689920"/>
        <c:scaling>
          <c:orientation val="minMax"/>
        </c:scaling>
        <c:delete val="0"/>
        <c:axPos val="b"/>
        <c:numFmt formatCode="General" sourceLinked="1"/>
        <c:majorTickMark val="none"/>
        <c:minorTickMark val="none"/>
        <c:tickLblPos val="nextTo"/>
        <c:spPr>
          <a:noFill/>
          <a:ln algn="ctr" cap="flat" cmpd="sng" w="9525">
            <a:solidFill>
              <a:schemeClr val="tx1">
                <a:lumMod val="15000"/>
                <a:lumOff val="85000"/>
              </a:schemeClr>
            </a:solidFill>
            <a:round/>
          </a:ln>
          <a:effectLst/>
        </c:spPr>
        <c:txPr>
          <a:bodyPr anchor="ctr" anchorCtr="1" rot="-60000000" spcFirstLastPara="1" vert="horz" vertOverflow="ellipsis" wrap="square"/>
          <a:lstStyle/>
          <a:p>
            <a:pPr>
              <a:defRPr b="0" baseline="0" i="0" kern="1200" strike="noStrike" sz="900" u="none">
                <a:solidFill>
                  <a:schemeClr val="tx1">
                    <a:lumMod val="65000"/>
                    <a:lumOff val="35000"/>
                  </a:schemeClr>
                </a:solidFill>
                <a:latin typeface="+mn-lt"/>
                <a:ea typeface="+mn-ea"/>
                <a:cs typeface="+mn-cs"/>
              </a:defRPr>
            </a:pPr>
            <a:endParaRPr lang="en-US"/>
          </a:p>
        </c:txPr>
        <c:crossAx val="992397872"/>
        <c:crosses val="autoZero"/>
        <c:auto val="1"/>
        <c:lblAlgn val="ctr"/>
        <c:lblOffset val="100"/>
        <c:noMultiLvlLbl val="0"/>
      </c:catAx>
      <c:valAx>
        <c:axId val="992397872"/>
        <c:scaling>
          <c:orientation val="minMax"/>
        </c:scaling>
        <c:delete val="0"/>
        <c:axPos val="l"/>
        <c:majorGridlines>
          <c:spPr>
            <a:ln algn="ctr" cap="flat" cmpd="sng" w="9525">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anchor="ctr" anchorCtr="1" rot="-60000000" spcFirstLastPara="1" vert="horz" vertOverflow="ellipsis" wrap="square"/>
          <a:lstStyle/>
          <a:p>
            <a:pPr>
              <a:defRPr b="0" baseline="0" i="0" kern="1200" strike="noStrike" sz="900" u="none">
                <a:solidFill>
                  <a:schemeClr val="tx1">
                    <a:lumMod val="65000"/>
                    <a:lumOff val="35000"/>
                  </a:schemeClr>
                </a:solidFill>
                <a:latin typeface="+mn-lt"/>
                <a:ea typeface="+mn-ea"/>
                <a:cs typeface="+mn-cs"/>
              </a:defRPr>
            </a:pPr>
            <a:endParaRPr lang="en-US"/>
          </a:p>
        </c:txPr>
        <c:crossAx val="149689920"/>
        <c:crosses val="autoZero"/>
        <c:crossBetween val="between"/>
      </c:valAx>
      <c:spPr>
        <a:noFill/>
        <a:ln>
          <a:noFill/>
        </a:ln>
        <a:effectLst/>
      </c:spPr>
    </c:plotArea>
    <c:legend>
      <c:legendPos val="b"/>
      <c:overlay val="0"/>
      <c:spPr>
        <a:noFill/>
        <a:ln>
          <a:noFill/>
        </a:ln>
        <a:effectLst/>
      </c:spPr>
      <c:txPr>
        <a:bodyPr anchor="ctr" anchorCtr="1" rot="0" spcFirstLastPara="1" vert="horz" vertOverflow="ellipsis" wrap="square"/>
        <a:lstStyle/>
        <a:p>
          <a:pPr>
            <a:defRPr b="0" baseline="0" i="0" kern="1200" strike="noStrike" sz="900" u="none">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algn="ctr" cap="flat" cmpd="sng" w="9525">
      <a:solidFill>
        <a:schemeClr val="tx1">
          <a:lumMod val="15000"/>
          <a:lumOff val="85000"/>
        </a:schemeClr>
      </a:solidFill>
      <a:round/>
    </a:ln>
    <a:effectLst/>
  </c:spPr>
  <c:txPr>
    <a:bodyPr/>
    <a:lstStyle/>
    <a:p>
      <a:pPr>
        <a:defRPr/>
      </a:pPr>
      <a:endParaRPr lang="en-US"/>
    </a:p>
  </c:txPr>
  <c:printSettings>
    <c:headerFooter/>
    <c:pageMargins b="0.75" footer="0.3" header="0.3" l="0.7" r="0.7" t="0.7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no"?><Relationships xmlns="http://schemas.openxmlformats.org/package/2006/relationships"><Relationship Id="rId1" Target="../charts/chart1.xml" Type="http://schemas.openxmlformats.org/officeDocument/2006/relationships/chart"/></Relationships>
</file>

<file path=xl/drawings/_rels/vmlDrawing1.v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a="http://schemas.openxmlformats.org/drawingml/2006/main" xmlns:xdr="http://schemas.openxmlformats.org/drawingml/2006/spreadsheetDrawing">
  <xdr:twoCellAnchor>
    <xdr:from>
      <xdr:col>1</xdr:col>
      <xdr:colOff>9768</xdr:colOff>
      <xdr:row>17</xdr:row>
      <xdr:rowOff>29308</xdr:rowOff>
    </xdr:from>
    <xdr:to>
      <xdr:col>11</xdr:col>
      <xdr:colOff>965200</xdr:colOff>
      <xdr:row>29</xdr:row>
      <xdr:rowOff>177800</xdr:rowOff>
    </xdr:to>
    <xdr:graphicFrame macro="">
      <xdr:nvGraphicFramePr>
        <xdr:cNvPr id="2" name="Chart 1">
          <a:extLst>
            <a:ext uri="{FF2B5EF4-FFF2-40B4-BE49-F238E27FC236}">
              <a16:creationId xmlns:a16="http://schemas.microsoft.com/office/drawing/2014/main" id="{04C9A987-80ED-44B1-91F0-4FB2F3BDF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no"?><Relationships xmlns="http://schemas.openxmlformats.org/package/2006/relationships"><Relationship Id="rId1" Target="Enodo_Export_Template_8-23-2018%20(with%20PDF).xlsx" TargetMode="External" Type="http://schemas.openxmlformats.org/officeDocument/2006/relationships/externalLinkPath"/></Relationships>
</file>

<file path=xl/externalLinks/_rels/externalLink2.xml.rels><?xml version="1.0" encoding="UTF-8" standalone="no"?><Relationships xmlns="http://schemas.openxmlformats.org/package/2006/relationships"><Relationship Id="rId1" Target="Key%20Observations" TargetMode="External" Type="http://schemas.microsoft.com/office/2006/relationships/xlExternalLinkPath/xlPathMissing"/></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y"/>
      <sheetName val="Unit Types"/>
      <sheetName val="Lease Analysis"/>
      <sheetName val="Selected Comps"/>
      <sheetName val="Similar Properties"/>
      <sheetName val="Operating Statement"/>
      <sheetName val="Pro Forma"/>
      <sheetName val="T-12 Analysis"/>
      <sheetName val="PDF Export"/>
      <sheetName val="Key Observations"/>
    </sheetNames>
    <sheetDataSet>
      <sheetData refreshError="1" sheetId="0"/>
      <sheetData sheetId="1">
        <row r="8">
          <cell r="B8" t="str">
            <v>{for floor_plan in unit_mix  order_by bed} {floor_plan.name}</v>
          </cell>
        </row>
      </sheetData>
      <sheetData refreshError="1" sheetId="2"/>
      <sheetData sheetId="3">
        <row r="8">
          <cell r="C8" t="str">
            <v>{property.street_address}</v>
          </cell>
          <cell r="F8" t="str">
            <v>{hfor comp in comparables order_by similarity} {comp.street_address}</v>
          </cell>
        </row>
        <row r="9">
          <cell r="C9" t="str">
            <v>{property.city}, {property.state} {property.zip_code}</v>
          </cell>
          <cell r="F9" t="str">
            <v>{hfor comp in comparables order_by similarity} {comp.city}, {comp.state} {comp.zip_code}</v>
          </cell>
        </row>
        <row r="10">
          <cell r="C10" t="str">
            <v>{property.name}</v>
          </cell>
          <cell r="F10" t="str">
            <v>{hfor comp in comparables order_by similarity} {comp.name}</v>
          </cell>
        </row>
        <row r="11">
          <cell r="C11" t="str">
            <v>{property.property_type}</v>
          </cell>
          <cell r="F11" t="str">
            <v>{hfor comp in comparables order_by similarity} {comp.property_type}</v>
          </cell>
        </row>
        <row r="12">
          <cell r="C12" t="str">
            <v>{property.year_built}</v>
          </cell>
          <cell r="D12" t="str">
            <v/>
          </cell>
          <cell r="E12" t="str">
            <v/>
          </cell>
          <cell r="F12" t="str">
            <v>{hfor comp in comparables order_by similarity} {comp.year_built}</v>
          </cell>
        </row>
        <row r="13">
          <cell r="C13" t="str">
            <v>{property.number_units}</v>
          </cell>
          <cell r="D13" t="str">
            <v/>
          </cell>
          <cell r="E13" t="str">
            <v/>
          </cell>
          <cell r="F13" t="str">
            <v>{hfor comp in comparables order_by similarity} {comp.number_units}</v>
          </cell>
        </row>
        <row r="14">
          <cell r="C14" t="str">
            <v>{property.number_floors}</v>
          </cell>
          <cell r="D14" t="str">
            <v/>
          </cell>
          <cell r="E14" t="str">
            <v/>
          </cell>
          <cell r="F14" t="str">
            <v>{hfor comp in comparables order_by similarity} {comp.number_floors}</v>
          </cell>
        </row>
        <row r="15">
          <cell r="D15" t="str">
            <v/>
          </cell>
          <cell r="F15" t="str">
            <v>{hfor comp in comparables order_by similarity} {comp.distance}</v>
          </cell>
        </row>
        <row r="17">
          <cell r="D17" t="str">
            <v/>
          </cell>
          <cell r="F17" t="str">
            <v>{hfor comp in comparables order_by similarity} {comp.similarity_breakdown.location}</v>
          </cell>
        </row>
        <row r="18">
          <cell r="D18" t="str">
            <v/>
          </cell>
          <cell r="F18" t="str">
            <v>{hfor comp in comparables order_by similarity} {comp.similarity_breakdown.year_built}</v>
          </cell>
        </row>
        <row r="19">
          <cell r="D19" t="str">
            <v/>
          </cell>
          <cell r="F19" t="str">
            <v>{hfor comp in comparables order_by similarity} {comp.similarity_breakdown.number_units}</v>
          </cell>
        </row>
        <row r="20">
          <cell r="D20" t="str">
            <v/>
          </cell>
          <cell r="F20" t="str">
            <v>{hfor comp in comparables order_by similarity} {comp.similarity_breakdown.community_amenities}</v>
          </cell>
        </row>
        <row r="21">
          <cell r="D21" t="str">
            <v/>
          </cell>
          <cell r="F21" t="str">
            <v>{hfor comp in comparables order_by similarity} {comp.similarity_breakdown.unit_types}</v>
          </cell>
        </row>
        <row r="22">
          <cell r="D22" t="str">
            <v/>
          </cell>
          <cell r="F22" t="str">
            <v>{hfor comp in comparables order_by similarity} {comp.similarity_breakdown.unit_features}</v>
          </cell>
        </row>
        <row r="23">
          <cell r="D23" t="str">
            <v/>
          </cell>
          <cell r="F23" t="str">
            <v>{hfor comp in comparables order_by similarity} {comp.similarity}</v>
          </cell>
        </row>
        <row r="25">
          <cell r="C25" t="str">
            <v/>
          </cell>
          <cell r="D25" t="str">
            <v/>
          </cell>
          <cell r="E25" t="str">
            <v/>
          </cell>
          <cell r="F25" t="str">
            <v>{hfor comp in comparables order_by similarity} {comp.unit_mix[0].number_units}</v>
          </cell>
        </row>
        <row r="26">
          <cell r="C26" t="str">
            <v/>
          </cell>
          <cell r="D26" t="str">
            <v/>
          </cell>
          <cell r="E26" t="str">
            <v/>
          </cell>
          <cell r="F26" t="str">
            <v>{hfor comp in comparables order_by similarity} {comp.unit_mix[1].number_units}</v>
          </cell>
        </row>
        <row r="27">
          <cell r="C27" t="str">
            <v/>
          </cell>
          <cell r="D27" t="str">
            <v/>
          </cell>
          <cell r="E27" t="str">
            <v/>
          </cell>
          <cell r="F27" t="str">
            <v>{hfor comp in comparables order_by similarity} {comp.unit_mix[2].number_units}</v>
          </cell>
        </row>
        <row r="28">
          <cell r="C28" t="str">
            <v/>
          </cell>
          <cell r="D28" t="str">
            <v/>
          </cell>
          <cell r="E28" t="str">
            <v/>
          </cell>
          <cell r="F28" t="str">
            <v>{hfor comp in comparables order_by similarity} {comp.unit_mix[3].number_units}</v>
          </cell>
        </row>
        <row r="29">
          <cell r="C29" t="str">
            <v/>
          </cell>
          <cell r="D29" t="str">
            <v/>
          </cell>
          <cell r="E29" t="str">
            <v/>
          </cell>
          <cell r="F29" t="str">
            <v>{hfor comp in comparables order_by similarity} {comp.unit_mix[0].number_units}</v>
          </cell>
        </row>
        <row r="31">
          <cell r="C31" t="str">
            <v/>
          </cell>
          <cell r="D31" t="str">
            <v/>
          </cell>
          <cell r="E31" t="str">
            <v/>
          </cell>
          <cell r="F31" t="str">
            <v>{hfor comp in comparables order_by similarity} {comp.unit_mix[0].sqft}</v>
          </cell>
        </row>
        <row r="32">
          <cell r="C32" t="str">
            <v/>
          </cell>
          <cell r="D32" t="str">
            <v/>
          </cell>
          <cell r="E32" t="str">
            <v/>
          </cell>
          <cell r="F32" t="str">
            <v>{hfor comp in comparables order_by similarity} {comp.unit_mix[1].sqft}</v>
          </cell>
        </row>
        <row r="33">
          <cell r="C33" t="str">
            <v/>
          </cell>
          <cell r="D33" t="str">
            <v/>
          </cell>
          <cell r="E33" t="str">
            <v/>
          </cell>
          <cell r="F33" t="str">
            <v>{hfor comp in comparables order_by similarity} {comp.unit_mix[2].sqft}</v>
          </cell>
        </row>
        <row r="34">
          <cell r="C34" t="str">
            <v/>
          </cell>
          <cell r="D34" t="str">
            <v/>
          </cell>
          <cell r="E34" t="str">
            <v/>
          </cell>
          <cell r="F34" t="str">
            <v>{hfor comp in comparables order_by similarity} {comp.unit_mix[3].sqft}</v>
          </cell>
        </row>
        <row r="35">
          <cell r="C35" t="str">
            <v/>
          </cell>
          <cell r="D35" t="str">
            <v/>
          </cell>
          <cell r="E35" t="str">
            <v/>
          </cell>
          <cell r="F35" t="str">
            <v>{hfor comp in comparables order_by similarity} {comp.unit_mix_totals.average_sqft}</v>
          </cell>
        </row>
        <row r="37">
          <cell r="C37" t="str">
            <v/>
          </cell>
          <cell r="D37" t="str">
            <v/>
          </cell>
          <cell r="E37" t="str">
            <v/>
          </cell>
          <cell r="F37" t="str">
            <v>{hfor comp in comparables order_by similarity} {comp.unit_mix[0].market_rent}</v>
          </cell>
        </row>
        <row r="38">
          <cell r="C38" t="str">
            <v/>
          </cell>
          <cell r="D38" t="str">
            <v/>
          </cell>
          <cell r="E38" t="str">
            <v/>
          </cell>
          <cell r="F38" t="str">
            <v>{hfor comp in comparables order_by similarity} {comp.unit_mix[1].market_rent}</v>
          </cell>
        </row>
        <row r="39">
          <cell r="C39" t="str">
            <v/>
          </cell>
          <cell r="D39" t="str">
            <v/>
          </cell>
          <cell r="E39" t="str">
            <v/>
          </cell>
          <cell r="F39" t="str">
            <v>{hfor comp in comparables order_by similarity} {comp.unit_mix[2].market_rent}</v>
          </cell>
        </row>
        <row r="40">
          <cell r="C40" t="str">
            <v/>
          </cell>
          <cell r="D40" t="str">
            <v/>
          </cell>
          <cell r="E40" t="str">
            <v/>
          </cell>
          <cell r="F40" t="str">
            <v>{hfor comp in comparables order_by similarity} {comp.unit_mix[3].market_rent}</v>
          </cell>
        </row>
        <row r="41">
          <cell r="C41" t="str">
            <v/>
          </cell>
          <cell r="D41" t="str">
            <v/>
          </cell>
          <cell r="E41" t="str">
            <v/>
          </cell>
          <cell r="F41" t="str">
            <v>{hfor comp in comparables order_by similarity}</v>
          </cell>
        </row>
        <row r="43">
          <cell r="C43" t="str">
            <v/>
          </cell>
          <cell r="D43" t="str">
            <v/>
          </cell>
          <cell r="E43" t="str">
            <v/>
          </cell>
          <cell r="F43" t="str">
            <v>{hfor comp in comparables order_by similarity} {comp.unit_mix[0].market_rent_sqft}</v>
          </cell>
        </row>
        <row r="44">
          <cell r="C44" t="str">
            <v/>
          </cell>
          <cell r="D44" t="str">
            <v/>
          </cell>
          <cell r="E44" t="str">
            <v/>
          </cell>
          <cell r="F44" t="str">
            <v>{hfor comp in comparables order_by similarity} {comp.unit_mix[1].market_rent_sqft}</v>
          </cell>
        </row>
        <row r="45">
          <cell r="C45" t="str">
            <v/>
          </cell>
          <cell r="D45" t="str">
            <v/>
          </cell>
          <cell r="E45" t="str">
            <v/>
          </cell>
          <cell r="F45" t="str">
            <v>{hfor comp in comparables order_by similarity} {comp.unit_mix[2].market_rent_sqft}</v>
          </cell>
        </row>
        <row r="46">
          <cell r="C46" t="str">
            <v/>
          </cell>
          <cell r="D46" t="str">
            <v/>
          </cell>
          <cell r="E46" t="str">
            <v/>
          </cell>
          <cell r="F46" t="str">
            <v>{hfor comp in comparables order_by similarity} {comp.unit_mix[3].market_rent_sqft}</v>
          </cell>
        </row>
        <row r="47">
          <cell r="C47" t="str">
            <v/>
          </cell>
          <cell r="D47" t="str">
            <v/>
          </cell>
          <cell r="E47" t="str">
            <v/>
          </cell>
          <cell r="F47" t="str">
            <v>{hfor comp in comparables order_by similarity}</v>
          </cell>
        </row>
      </sheetData>
      <sheetData refreshError="1" sheetId="4"/>
      <sheetData refreshError="1" sheetId="5"/>
      <sheetData sheetId="6">
        <row r="12">
          <cell r="H12" t="str">
            <v/>
          </cell>
        </row>
      </sheetData>
      <sheetData refreshError="1" sheetId="7"/>
      <sheetData sheetId="8">
        <row r="173">
          <cell r="G173" t="str">
            <v>Studio</v>
          </cell>
          <cell r="H173" t="str">
            <v>1BR</v>
          </cell>
          <cell r="I173" t="str">
            <v>2BR</v>
          </cell>
          <cell r="J173" t="str">
            <v>3BR</v>
          </cell>
          <cell r="K173" t="str">
            <v>4BR</v>
          </cell>
        </row>
        <row r="175">
          <cell r="A175" t="str">
            <v>Median Market Rent</v>
          </cell>
          <cell r="G175">
            <v>951</v>
          </cell>
          <cell r="H175">
            <v>1155</v>
          </cell>
          <cell r="I175">
            <v>1422</v>
          </cell>
          <cell r="J175">
            <v>1800</v>
          </cell>
          <cell r="K175">
            <v>2350</v>
          </cell>
        </row>
        <row r="176">
          <cell r="A176" t="str">
            <v>% of Market</v>
          </cell>
          <cell r="G176">
            <v>3.49E-2</v>
          </cell>
          <cell r="H176">
            <v>0.36880000000000002</v>
          </cell>
          <cell r="I176">
            <v>0.42149999999999999</v>
          </cell>
          <cell r="J176">
            <v>0.1716</v>
          </cell>
          <cell r="K176">
            <v>3.3999999999999998E-3</v>
          </cell>
        </row>
      </sheetData>
      <sheetData sheetId="9">
        <row r="15">
          <cell r="E15" t="str">
            <v/>
          </cell>
          <cell r="F15" t="str">
            <v/>
          </cell>
        </row>
        <row r="16">
          <cell r="E16" t="str">
            <v/>
          </cell>
          <cell r="F16" t="str">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Observations"/>
    </sheetNames>
    <sheetDataSet>
      <sheetData refreshError="1" sheetId="0"/>
    </sheetDataSet>
  </externalBook>
</externalLink>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0.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 Id="rId2" Target="../drawings/vmlDrawing1.vml" Type="http://schemas.openxmlformats.org/officeDocument/2006/relationships/vmlDrawing"/></Relationships>
</file>

<file path=xl/worksheets/_rels/sheet8.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E06B-FB73-463B-9821-E88BD09568FA}">
  <dimension ref="A1:P53"/>
  <sheetViews>
    <sheetView workbookViewId="0" zoomScaleNormal="100">
      <selection activeCell="C48" sqref="C48"/>
    </sheetView>
  </sheetViews>
  <sheetFormatPr defaultColWidth="8.7265625" defaultRowHeight="14.5" x14ac:dyDescent="0.35"/>
  <cols>
    <col min="1" max="1" customWidth="true" style="52" width="2.7265625" collapsed="false"/>
    <col min="2" max="2" customWidth="true" style="19" width="26.54296875" collapsed="false"/>
    <col min="3" max="3" customWidth="true" style="19" width="28.54296875" collapsed="false"/>
    <col min="4" max="4" customWidth="true" style="38" width="13.7265625" collapsed="false"/>
    <col min="5" max="5" customWidth="true" style="52" width="13.26953125" collapsed="false"/>
    <col min="6" max="6" bestFit="true" customWidth="true" style="52" width="12.453125" collapsed="false"/>
    <col min="7" max="9" customWidth="true" style="52" width="21.26953125" collapsed="false"/>
    <col min="10" max="16384" style="52" width="8.7265625" collapsed="false"/>
  </cols>
  <sheetData>
    <row r="1" spans="1:15" x14ac:dyDescent="0.35">
      <c r="A1" s="58"/>
      <c r="B1" s="58"/>
      <c r="C1" s="58"/>
      <c r="D1" s="62"/>
    </row>
    <row ht="18.5" r="2" spans="1:15" x14ac:dyDescent="0.35">
      <c r="A2" s="58"/>
      <c r="B2" s="2" t="s">
        <v>348</v>
      </c>
      <c r="C2" s="2"/>
      <c r="D2" s="62"/>
    </row>
    <row ht="18.5" r="3" spans="1:15" x14ac:dyDescent="0.35">
      <c r="A3" s="58"/>
      <c r="B3" s="3" t="str">
        <f>IF(LEN("{property.name}")&gt;1,"{property.name}"&amp;" | "&amp;"{property.number_units}"&amp;" Units","{property.number_units}"&amp;" Units")</f>
        <v>{property.name} | {property.number_units} Units</v>
      </c>
      <c r="C3" s="3"/>
      <c r="D3" s="62"/>
    </row>
    <row ht="18.5" r="4" spans="1:15" x14ac:dyDescent="0.35">
      <c r="A4" s="58">
        <f>1+1</f>
      </c>
      <c r="B4" s="3" t="s">
        <f>1+1</f>
      </c>
      <c r="C4" s="3">
        <f>1+1</f>
      </c>
      <c r="D4" s="62">
        <f>1+1</f>
      </c>
    </row>
    <row r="5" spans="1:15" x14ac:dyDescent="0.35">
      <c r="A5" s="58">
        <f>1+1</f>
      </c>
      <c r="B5" s="58">
        <f>1+1</f>
      </c>
      <c r="C5" s="58">
        <f>1+1</f>
      </c>
      <c r="D5" s="62">
        <f>1+1</f>
      </c>
    </row>
    <row ht="18.5" r="6" spans="1:15" x14ac:dyDescent="0.35">
      <c r="A6" s="58">
        <f>1+1</f>
      </c>
      <c r="B6" s="595" t="s">
        <f>1+1</f>
      </c>
      <c r="C6" s="58">
        <f>1+1</f>
      </c>
      <c r="D6" s="62">
        <f>1+1</f>
      </c>
      <c r="E6" s="595" t="s">
        <f>1+1</f>
      </c>
    </row>
    <row r="7" spans="1:15" x14ac:dyDescent="0.35">
      <c r="A7" s="19">
        <f>1+1</f>
      </c>
      <c r="B7" s="184" t="s">
        <f>1+1</f>
      </c>
      <c r="C7" s="185">
        <f>1+1</f>
      </c>
      <c r="D7" s="596">
        <f>1+1</f>
      </c>
      <c r="E7" s="590" t="s">
        <f>1+1</f>
      </c>
      <c r="F7" s="507" t="s">
        <f>1+1</f>
      </c>
      <c r="G7" s="575" t="s">
        <f>1+1</f>
      </c>
      <c r="H7" s="575" t="s">
        <f>1+1</f>
      </c>
      <c r="I7" s="575" t="s">
        <f>1+1</f>
      </c>
    </row>
    <row r="8" spans="1:15" x14ac:dyDescent="0.35">
      <c r="A8" s="19">
        <f>1+1</f>
      </c>
      <c r="B8" s="960" t="s">
        <f>1+1</f>
      </c>
      <c r="C8" s="961" t="s">
        <f>1+1</f>
      </c>
      <c r="D8" s="596">
        <f>1+1</f>
      </c>
      <c r="E8" s="94" t="str">
        <f>1+1</f>
      </c>
      <c r="F8" s="99" t="str">
        <f>1+1</f>
      </c>
      <c r="G8" s="597" t="str">
        <f>1+1</f>
      </c>
      <c r="H8" s="597" t="str">
        <f>1+1</f>
      </c>
      <c r="I8" s="597" t="str">
        <f>1+1</f>
      </c>
    </row>
    <row r="9" spans="1:15" x14ac:dyDescent="0.35">
      <c r="A9" s="19">
        <f>1+1</f>
      </c>
      <c r="B9" s="962" t="s">
        <f>1+1</f>
      </c>
      <c r="C9" s="959" t="s">
        <f>1+1</f>
      </c>
      <c r="D9" s="596">
        <f>1+1</f>
      </c>
      <c r="E9" s="94" t="str">
        <f>1+1</f>
      </c>
      <c r="F9" s="99" t="str">
        <f>1+1</f>
      </c>
      <c r="G9" s="101" t="str">
        <f>1+1</f>
      </c>
      <c r="H9" s="101" t="str">
        <f>1+1</f>
      </c>
      <c r="I9" s="101" t="str">
        <f>1+1</f>
      </c>
    </row>
    <row r="10" spans="1:15" x14ac:dyDescent="0.35">
      <c r="A10" s="19">
        <f>1+1</f>
      </c>
      <c r="B10" s="962" t="s">
        <f>1+1</f>
      </c>
      <c r="C10" s="959" t="s">
        <f>1+1</f>
      </c>
      <c r="D10" s="596">
        <f>1+1</f>
      </c>
      <c r="E10" s="94" t="str">
        <f>1+1</f>
      </c>
      <c r="F10" s="99" t="str">
        <f>1+1</f>
      </c>
      <c r="G10" s="101" t="str">
        <f>1+1</f>
      </c>
      <c r="H10" s="101" t="str">
        <f>1+1</f>
      </c>
      <c r="I10" s="101" t="str">
        <f>1+1</f>
      </c>
    </row>
    <row r="11" spans="1:15" x14ac:dyDescent="0.35">
      <c r="A11" s="19">
        <f>1+1</f>
      </c>
      <c r="B11" s="962" t="s">
        <f>1+1</f>
      </c>
      <c r="C11" s="959" t="s">
        <f>1+1</f>
      </c>
      <c r="D11" s="596">
        <f>1+1</f>
      </c>
      <c r="E11" s="94" t="str">
        <f>1+1</f>
      </c>
      <c r="F11" s="99" t="str">
        <f>1+1</f>
      </c>
      <c r="G11" s="101" t="str">
        <f>1+1</f>
      </c>
      <c r="H11" s="101" t="str">
        <f>1+1</f>
      </c>
      <c r="I11" s="101" t="str">
        <f>1+1</f>
      </c>
    </row>
    <row r="12" spans="1:15" x14ac:dyDescent="0.35">
      <c r="A12" s="19">
        <f>1+1</f>
      </c>
      <c r="B12" s="962" t="s">
        <f>1+1</f>
      </c>
      <c r="C12" s="959" t="s">
        <f>1+1</f>
      </c>
      <c r="D12" s="596">
        <f>1+1</f>
      </c>
      <c r="E12" s="591" t="str">
        <f>1+1</f>
      </c>
      <c r="F12" s="592" t="str">
        <f>1+1</f>
      </c>
      <c r="G12" s="598" t="str">
        <f>1+1</f>
      </c>
      <c r="H12" s="598" t="str">
        <f>1+1</f>
      </c>
      <c r="I12" s="598" t="str">
        <f>1+1</f>
      </c>
    </row>
    <row r="13" spans="1:15" x14ac:dyDescent="0.35">
      <c r="A13" s="19">
        <f>1+1</f>
      </c>
      <c r="B13" s="962" t="s">
        <f>1+1</f>
      </c>
      <c r="C13" s="959" t="s">
        <f>1+1</f>
      </c>
      <c r="D13" s="596">
        <f>1+1</f>
      </c>
      <c r="E13" s="593" t="s">
        <f>1+1</f>
      </c>
      <c r="F13" s="594">
        <f>1+1</f>
      </c>
      <c r="G13" s="599">
        <f>1+1</f>
      </c>
      <c r="H13" s="599">
        <f>1+1</f>
      </c>
      <c r="I13" s="599">
        <f>1+1</f>
      </c>
    </row>
    <row customHeight="1" ht="14.5" r="14" spans="1:15" x14ac:dyDescent="0.35">
      <c r="A14" s="19">
        <f>1+1</f>
      </c>
      <c r="B14" s="962" t="s">
        <f>1+1</f>
      </c>
      <c r="C14" s="959" t="s">
        <f>1+1</f>
      </c>
      <c r="D14" s="596">
        <f>1+1</f>
      </c>
      <c r="E14" s="958" t="s">
        <f>1+1</f>
      </c>
    </row>
    <row customHeight="1" ht="14.5" r="15" spans="1:15" x14ac:dyDescent="0.35">
      <c r="A15" s="19">
        <f>1+1</f>
      </c>
      <c r="B15" s="962" t="s">
        <f>1+1</f>
      </c>
      <c r="C15" s="959" t="s">
        <f>1+1</f>
      </c>
      <c r="D15" s="596">
        <f>1+1</f>
      </c>
      <c r="E15" s="958" t="s">
        <f>1+1</f>
      </c>
      <c r="F15" s="957">
        <f>1+1</f>
      </c>
      <c r="G15" s="957">
        <f>1+1</f>
      </c>
      <c r="H15" s="957">
        <f>1+1</f>
      </c>
      <c r="I15" s="957">
        <f>1+1</f>
      </c>
      <c r="J15" s="957">
        <f>1+1</f>
      </c>
      <c r="K15" s="957">
        <f>1+1</f>
      </c>
      <c r="L15" s="957">
        <f>1+1</f>
      </c>
      <c r="M15" s="957">
        <f>1+1</f>
      </c>
      <c r="N15" s="957">
        <f>1+1</f>
      </c>
      <c r="O15" s="957">
        <f>1+1</f>
      </c>
    </row>
    <row r="16" spans="1:15" x14ac:dyDescent="0.35">
      <c r="A16" s="19">
        <f>1+1</f>
      </c>
      <c r="B16" s="962" t="s">
        <f>1+1</f>
      </c>
      <c r="C16" s="959" t="s">
        <f>1+1</f>
      </c>
      <c r="D16" s="596">
        <f>1+1</f>
      </c>
      <c r="E16" s="957">
        <f>1+1</f>
      </c>
      <c r="F16" s="957">
        <f>1+1</f>
      </c>
      <c r="G16" s="957">
        <f>1+1</f>
      </c>
      <c r="H16" s="957">
        <f>1+1</f>
      </c>
      <c r="I16" s="957">
        <f>1+1</f>
      </c>
      <c r="J16" s="957">
        <f>1+1</f>
      </c>
      <c r="K16" s="957">
        <f>1+1</f>
      </c>
      <c r="L16" s="957">
        <f>1+1</f>
      </c>
      <c r="M16" s="957">
        <f>1+1</f>
      </c>
      <c r="N16" s="957">
        <f>1+1</f>
      </c>
      <c r="O16" s="957">
        <f>1+1</f>
      </c>
    </row>
    <row r="17" spans="1:9" x14ac:dyDescent="0.35">
      <c r="A17" s="19">
        <f>1+1</f>
      </c>
      <c r="B17" s="963" t="s">
        <f>1+1</f>
      </c>
      <c r="C17" s="964" t="s">
        <f>1+1</f>
      </c>
      <c r="D17" s="596">
        <f>1+1</f>
      </c>
    </row>
    <row r="18" spans="1:9" x14ac:dyDescent="0.35">
      <c r="A18" s="19">
        <f>1+1</f>
      </c>
      <c r="B18" s="600">
        <f>1+1</f>
      </c>
      <c r="C18" s="601">
        <f>1+1</f>
      </c>
      <c r="D18" s="596">
        <f>1+1</f>
      </c>
    </row>
    <row ht="18.5" r="19" spans="1:9" x14ac:dyDescent="0.35">
      <c r="A19" s="19">
        <f>1+1</f>
      </c>
      <c r="B19" s="595" t="s">
        <f>1+1</f>
      </c>
      <c r="C19" s="602">
        <f>1+1</f>
      </c>
      <c r="D19" s="602">
        <f>1+1</f>
      </c>
      <c r="E19" s="602">
        <f>1+1</f>
      </c>
      <c r="F19" s="602">
        <f>1+1</f>
      </c>
      <c r="G19" s="602">
        <f>1+1</f>
      </c>
    </row>
    <row r="20" spans="1:9" x14ac:dyDescent="0.35">
      <c r="A20" s="19">
        <f>1+1</f>
      </c>
      <c r="B20" s="506" t="s">
        <f>1+1</f>
      </c>
      <c r="C20" s="507">
        <f>1+1</f>
      </c>
      <c r="D20" s="507">
        <f>1+1</f>
      </c>
      <c r="E20" s="507">
        <f>1+1</f>
      </c>
      <c r="F20" s="507">
        <f>1+1</f>
      </c>
      <c r="G20" s="508" t="s">
        <f>1+1</f>
      </c>
      <c r="H20" s="507" t="s">
        <f>1+1</f>
      </c>
      <c r="I20" s="575" t="s">
        <f>1+1</f>
      </c>
    </row>
    <row r="21" spans="1:9" x14ac:dyDescent="0.35">
      <c r="A21" s="19">
        <f>1+1</f>
      </c>
      <c r="B21" s="603" t="s">
        <f>1+1</f>
      </c>
      <c r="C21" s="602">
        <f>1+1</f>
      </c>
      <c r="D21" s="602">
        <f>1+1</f>
      </c>
      <c r="E21" s="602">
        <f>1+1</f>
      </c>
      <c r="F21" s="602">
        <f>1+1</f>
      </c>
      <c r="G21" s="604" t="str">
        <f>1+1</f>
      </c>
      <c r="H21" s="605" t="str">
        <f>1+1</f>
      </c>
      <c r="I21" s="606" t="str">
        <f>1+1</f>
      </c>
    </row>
    <row r="22" spans="1:9" x14ac:dyDescent="0.35">
      <c r="A22" s="19">
        <f>1+1</f>
      </c>
      <c r="B22" s="607" t="s">
        <f>1+1</f>
      </c>
      <c r="C22" s="608">
        <f>1+1</f>
      </c>
      <c r="D22" s="608">
        <f>1+1</f>
      </c>
      <c r="E22" s="608">
        <f>1+1</f>
      </c>
      <c r="F22" s="608">
        <f>1+1</f>
      </c>
      <c r="G22" s="609" t="str">
        <f>1+1</f>
      </c>
      <c r="H22" s="605" t="str">
        <f>1+1</f>
      </c>
      <c r="I22" s="610" t="str">
        <f>1+1</f>
      </c>
    </row>
    <row r="23" spans="1:9" x14ac:dyDescent="0.35">
      <c r="A23" s="19">
        <f>1+1</f>
      </c>
      <c r="B23" s="509" t="s">
        <f>1+1</f>
      </c>
      <c r="C23" s="510">
        <f>1+1</f>
      </c>
      <c r="D23" s="510">
        <f>1+1</f>
      </c>
      <c r="E23" s="510">
        <f>1+1</f>
      </c>
      <c r="F23" s="510">
        <f>1+1</f>
      </c>
      <c r="G23" s="511" t="str">
        <f>1+1</f>
      </c>
      <c r="H23" s="645" t="str">
        <f>1+1</f>
      </c>
      <c r="I23" s="576" t="str">
        <f>1+1</f>
      </c>
    </row>
    <row r="24" spans="1:9" x14ac:dyDescent="0.35">
      <c r="A24" s="19">
        <f>1+1</f>
      </c>
      <c r="B24" s="602">
        <f>1+1</f>
      </c>
      <c r="C24" s="602">
        <f>1+1</f>
      </c>
      <c r="D24" s="602">
        <f>1+1</f>
      </c>
      <c r="E24" s="602">
        <f>1+1</f>
      </c>
      <c r="F24" s="602">
        <f>1+1</f>
      </c>
      <c r="G24" s="602">
        <f>1+1</f>
      </c>
      <c r="H24" s="605">
        <f>1+1</f>
      </c>
      <c r="I24" s="611">
        <f>1+1</f>
      </c>
    </row>
    <row r="25" spans="1:9" x14ac:dyDescent="0.35">
      <c r="A25" s="19">
        <f>1+1</f>
      </c>
      <c r="B25" s="506" t="s">
        <f>1+1</f>
      </c>
      <c r="C25" s="507">
        <f>1+1</f>
      </c>
      <c r="D25" s="507">
        <f>1+1</f>
      </c>
      <c r="E25" s="507">
        <f>1+1</f>
      </c>
      <c r="F25" s="507">
        <f>1+1</f>
      </c>
      <c r="G25" s="508" t="s">
        <f>1+1</f>
      </c>
      <c r="H25" s="507" t="s">
        <f>1+1</f>
      </c>
      <c r="I25" s="575" t="s">
        <f>1+1</f>
      </c>
    </row>
    <row r="26" spans="1:9" x14ac:dyDescent="0.35">
      <c r="B26" s="603" t="s">
        <f>1+1</f>
      </c>
      <c r="C26" s="602">
        <f>1+1</f>
      </c>
      <c r="D26" s="602">
        <f>1+1</f>
      </c>
      <c r="E26" s="602">
        <f>1+1</f>
      </c>
      <c r="F26" s="602">
        <f>1+1</f>
      </c>
      <c r="G26" s="604" t="str">
        <f>1+1</f>
      </c>
      <c r="H26" s="605" t="str">
        <f>1+1</f>
      </c>
      <c r="I26" s="606" t="str">
        <f>1+1</f>
      </c>
    </row>
    <row r="27" spans="1:9" x14ac:dyDescent="0.35">
      <c r="B27" s="603" t="s">
        <f>1+1</f>
      </c>
      <c r="C27" s="602">
        <f>1+1</f>
      </c>
      <c r="D27" s="602">
        <f>1+1</f>
      </c>
      <c r="E27" s="602">
        <f>1+1</f>
      </c>
      <c r="F27" s="602">
        <f>1+1</f>
      </c>
      <c r="G27" s="604" t="str">
        <f>1+1</f>
      </c>
      <c r="H27" s="605" t="str">
        <f>1+1</f>
      </c>
      <c r="I27" s="606" t="str">
        <f>1+1</f>
      </c>
    </row>
    <row r="28" spans="1:9" x14ac:dyDescent="0.35">
      <c r="B28" s="612" t="s">
        <f>1+1</f>
      </c>
      <c r="C28" s="608">
        <f>1+1</f>
      </c>
      <c r="D28" s="608">
        <f>1+1</f>
      </c>
      <c r="E28" s="608">
        <f>1+1</f>
      </c>
      <c r="F28" s="608">
        <f>1+1</f>
      </c>
      <c r="G28" s="609" t="str">
        <f>1+1</f>
      </c>
      <c r="H28" s="605" t="str">
        <f>1+1</f>
      </c>
      <c r="I28" s="606" t="str">
        <f>1+1</f>
      </c>
    </row>
    <row r="29" spans="1:9" x14ac:dyDescent="0.35">
      <c r="B29" s="509" t="s">
        <f>1+1</f>
      </c>
      <c r="C29" s="510">
        <f>1+1</f>
      </c>
      <c r="D29" s="510">
        <f>1+1</f>
      </c>
      <c r="E29" s="510">
        <f>1+1</f>
      </c>
      <c r="F29" s="510">
        <f>1+1</f>
      </c>
      <c r="G29" s="511" t="str">
        <f>1+1</f>
      </c>
      <c r="H29" s="644" t="str">
        <f>1+1</f>
      </c>
      <c r="I29" s="576" t="str">
        <f>1+1</f>
      </c>
    </row>
    <row r="30" spans="1:9" x14ac:dyDescent="0.35">
      <c r="B30" s="613">
        <f>1+1</f>
      </c>
      <c r="C30" s="613">
        <f>1+1</f>
      </c>
      <c r="D30" s="613">
        <f>1+1</f>
      </c>
      <c r="E30" s="613">
        <f>1+1</f>
      </c>
      <c r="F30" s="613">
        <f>1+1</f>
      </c>
      <c r="G30" s="613">
        <f>1+1</f>
      </c>
      <c r="H30" s="613">
        <f>1+1</f>
      </c>
      <c r="I30" s="613">
        <f>1+1</f>
      </c>
    </row>
    <row r="31" spans="1:9" x14ac:dyDescent="0.35">
      <c r="B31" s="506" t="s">
        <f>1+1</f>
      </c>
      <c r="C31" s="507">
        <f>1+1</f>
      </c>
      <c r="D31" s="507">
        <f>1+1</f>
      </c>
      <c r="E31" s="507">
        <f>1+1</f>
      </c>
      <c r="F31" s="507" t="s">
        <f>1+1</f>
      </c>
      <c r="G31" s="512" t="s">
        <f>1+1</f>
      </c>
      <c r="H31" s="512" t="s">
        <f>1+1</f>
      </c>
      <c r="I31" s="513" t="s">
        <f>1+1</f>
      </c>
    </row>
    <row r="32" spans="1:9" x14ac:dyDescent="0.35">
      <c r="B32" s="614" t="s">
        <f>1+1</f>
      </c>
      <c r="C32" s="615">
        <f>1+1</f>
      </c>
      <c r="D32" s="615">
        <f>1+1</f>
      </c>
      <c r="E32" s="615">
        <f>1+1</f>
      </c>
      <c r="F32" s="616" t="str">
        <f>1+1</f>
      </c>
      <c r="G32" s="617" t="str">
        <f>1+1</f>
      </c>
      <c r="H32" s="617" t="str">
        <f>1+1</f>
      </c>
      <c r="I32" s="618" t="str">
        <f>1+1</f>
      </c>
    </row>
    <row r="33" spans="1:9" x14ac:dyDescent="0.35">
      <c r="B33" s="603" t="s">
        <f>1+1</f>
      </c>
      <c r="C33" s="602">
        <f>1+1</f>
      </c>
      <c r="D33" s="602">
        <f>1+1</f>
      </c>
      <c r="E33" s="602">
        <f>1+1</f>
      </c>
      <c r="F33" s="619" t="str">
        <f>1+1</f>
      </c>
      <c r="G33" s="620" t="str">
        <f>1+1</f>
      </c>
      <c r="H33" s="620" t="str">
        <f>1+1</f>
      </c>
      <c r="I33" s="621" t="str">
        <f>1+1</f>
      </c>
    </row>
    <row r="34" spans="1:9" x14ac:dyDescent="0.35">
      <c r="B34" s="603" t="s">
        <f>1+1</f>
      </c>
      <c r="C34" s="602">
        <f>1+1</f>
      </c>
      <c r="D34" s="602">
        <f>1+1</f>
      </c>
      <c r="E34" s="602">
        <f>1+1</f>
      </c>
      <c r="F34" s="619" t="str">
        <f>1+1</f>
      </c>
      <c r="G34" s="620" t="str">
        <f>1+1</f>
      </c>
      <c r="H34" s="620" t="str">
        <f>1+1</f>
      </c>
      <c r="I34" s="621" t="str">
        <f>1+1</f>
      </c>
    </row>
    <row r="35" spans="1:9" x14ac:dyDescent="0.35">
      <c r="B35" s="603" t="s">
        <f>1+1</f>
      </c>
      <c r="C35" s="602">
        <f>1+1</f>
      </c>
      <c r="D35" s="602">
        <f>1+1</f>
      </c>
      <c r="E35" s="602">
        <f>1+1</f>
      </c>
      <c r="F35" s="622" t="str">
        <f>1+1</f>
      </c>
      <c r="G35" s="623" t="str">
        <f>1+1</f>
      </c>
      <c r="H35" s="623" t="str">
        <f>1+1</f>
      </c>
      <c r="I35" s="624" t="str">
        <f>1+1</f>
      </c>
    </row>
    <row r="36" spans="1:9" x14ac:dyDescent="0.35">
      <c r="B36" s="603" t="s">
        <f>1+1</f>
      </c>
      <c r="C36" s="602">
        <f>1+1</f>
      </c>
      <c r="D36" s="602">
        <f>1+1</f>
      </c>
      <c r="E36" s="602">
        <f>1+1</f>
      </c>
      <c r="F36" s="625" t="str">
        <f>1+1</f>
      </c>
      <c r="G36" s="626" t="str">
        <f>1+1</f>
      </c>
      <c r="H36" s="626" t="str">
        <f>1+1</f>
      </c>
      <c r="I36" s="627" t="str">
        <f>1+1</f>
      </c>
    </row>
    <row r="37" spans="1:9" x14ac:dyDescent="0.35">
      <c r="B37" s="578" t="s">
        <f>1+1</f>
      </c>
      <c r="C37" s="608">
        <f>1+1</f>
      </c>
      <c r="D37" s="608">
        <f>1+1</f>
      </c>
      <c r="E37" s="608">
        <f>1+1</f>
      </c>
      <c r="F37" s="628" t="str">
        <f>1+1</f>
      </c>
      <c r="G37" s="629" t="str">
        <f>1+1</f>
      </c>
      <c r="H37" s="629" t="str">
        <f>1+1</f>
      </c>
      <c r="I37" s="630" t="str">
        <f>1+1</f>
      </c>
    </row>
    <row r="38" spans="1:9" x14ac:dyDescent="0.35">
      <c r="B38" s="955" t="s">
        <f>1+1</f>
      </c>
      <c r="C38" s="505">
        <f>1+1</f>
      </c>
      <c r="D38" s="577">
        <f>1+1</f>
      </c>
      <c r="E38" s="577">
        <f>1+1</f>
      </c>
      <c r="F38" s="577">
        <f>1+1</f>
      </c>
      <c r="G38" s="577">
        <f>1+1</f>
      </c>
    </row>
    <row r="39" spans="1:9" x14ac:dyDescent="0.35">
      <c r="A39" s="570">
        <f>1+1</f>
      </c>
      <c r="B39" s="203">
        <f>1+1</f>
      </c>
      <c r="C39" s="582">
        <f>1+1</f>
      </c>
      <c r="D39" s="582">
        <f>1+1</f>
      </c>
      <c r="E39" s="582">
        <f>1+1</f>
      </c>
      <c r="F39" s="582">
        <f>1+1</f>
      </c>
      <c r="G39" s="582">
        <f>1+1</f>
      </c>
    </row>
    <row r="40" spans="1:9" x14ac:dyDescent="0.35">
      <c r="A40" s="505">
        <f>1+1</f>
      </c>
      <c r="B40" s="582">
        <f>1+1</f>
      </c>
      <c r="C40" s="582">
        <f>1+1</f>
      </c>
      <c r="D40" s="582">
        <f>1+1</f>
      </c>
      <c r="E40" s="582">
        <f>1+1</f>
      </c>
      <c r="F40" s="582">
        <f>1+1</f>
      </c>
      <c r="G40" s="582">
        <f>1+1</f>
      </c>
    </row>
    <row r="41" spans="1:9" x14ac:dyDescent="0.35">
      <c r="A41" s="571">
        <f>1+1</f>
      </c>
      <c r="B41" s="572">
        <f>1+1</f>
      </c>
      <c r="C41" s="572">
        <f>1+1</f>
      </c>
      <c r="D41" s="572">
        <f>1+1</f>
      </c>
      <c r="E41" s="572">
        <f>1+1</f>
      </c>
      <c r="F41" s="572">
        <f>1+1</f>
      </c>
      <c r="G41" s="572">
        <f>1+1</f>
      </c>
    </row>
    <row r="42" spans="1:9" x14ac:dyDescent="0.35">
      <c r="A42" s="573">
        <f>1+1</f>
      </c>
      <c r="B42" s="582">
        <f>1+1</f>
      </c>
      <c r="C42" s="582">
        <f>1+1</f>
      </c>
      <c r="D42" s="582">
        <f>1+1</f>
      </c>
      <c r="E42" s="582">
        <f>1+1</f>
      </c>
      <c r="F42" s="582">
        <f>1+1</f>
      </c>
      <c r="G42" s="582">
        <f>1+1</f>
      </c>
    </row>
    <row r="43" spans="1:9" x14ac:dyDescent="0.35">
      <c r="A43" s="571">
        <f>1+1</f>
      </c>
      <c r="B43" s="582">
        <f>1+1</f>
      </c>
      <c r="C43" s="582">
        <f>1+1</f>
      </c>
      <c r="D43" s="582">
        <f>1+1</f>
      </c>
      <c r="E43" s="582">
        <f>1+1</f>
      </c>
      <c r="F43" s="582">
        <f>1+1</f>
      </c>
      <c r="G43" s="582">
        <f>1+1</f>
      </c>
    </row>
    <row r="44" spans="1:9" x14ac:dyDescent="0.35">
      <c r="A44" s="571">
        <f>1+1</f>
      </c>
      <c r="B44" s="572">
        <f>1+1</f>
      </c>
      <c r="C44" s="572">
        <f>1+1</f>
      </c>
      <c r="D44" s="572">
        <f>1+1</f>
      </c>
      <c r="E44" s="572">
        <f>1+1</f>
      </c>
      <c r="F44" s="572">
        <f>1+1</f>
      </c>
      <c r="G44" s="572">
        <f>1+1</f>
      </c>
    </row>
    <row r="45" spans="1:9" x14ac:dyDescent="0.35">
      <c r="A45" s="573">
        <f>1+1</f>
      </c>
      <c r="B45" s="582">
        <f>1+1</f>
      </c>
      <c r="C45" s="582">
        <f>1+1</f>
      </c>
      <c r="D45" s="582">
        <f>1+1</f>
      </c>
      <c r="E45" s="582">
        <f>1+1</f>
      </c>
      <c r="F45" s="582">
        <f>1+1</f>
      </c>
      <c r="G45" s="582">
        <f>1+1</f>
      </c>
    </row>
    <row r="46" spans="1:9" x14ac:dyDescent="0.35">
      <c r="A46" s="571">
        <f>1+1</f>
      </c>
      <c r="B46" s="582">
        <f>1+1</f>
      </c>
      <c r="C46" s="582">
        <f>1+1</f>
      </c>
      <c r="D46" s="582">
        <f>1+1</f>
      </c>
      <c r="E46" s="582">
        <f>1+1</f>
      </c>
      <c r="F46" s="582">
        <f>1+1</f>
      </c>
      <c r="G46" s="582">
        <f>1+1</f>
      </c>
    </row>
    <row r="47" spans="1:9" x14ac:dyDescent="0.35">
      <c r="A47" s="571">
        <f>1+1</f>
      </c>
      <c r="B47" s="572">
        <f>1+1</f>
      </c>
      <c r="C47" s="572">
        <f>1+1</f>
      </c>
      <c r="D47" s="572">
        <f>1+1</f>
      </c>
      <c r="E47" s="572">
        <f>1+1</f>
      </c>
      <c r="F47" s="572">
        <f>1+1</f>
      </c>
      <c r="G47" s="572">
        <f>1+1</f>
      </c>
    </row>
    <row r="48" spans="1:9" x14ac:dyDescent="0.35">
      <c r="A48" s="573">
        <f>1+1</f>
      </c>
      <c r="B48" s="582">
        <f>1+1</f>
      </c>
      <c r="C48" s="582">
        <f>1+1</f>
      </c>
      <c r="D48" s="582">
        <f>1+1</f>
      </c>
      <c r="E48" s="582">
        <f>1+1</f>
      </c>
      <c r="F48" s="582">
        <f>1+1</f>
      </c>
      <c r="G48" s="582">
        <f>1+1</f>
      </c>
    </row>
    <row r="49" spans="1:7" x14ac:dyDescent="0.35">
      <c r="A49" s="571">
        <f>1+1</f>
      </c>
      <c r="B49" s="582">
        <f>1+1</f>
      </c>
      <c r="C49" s="582">
        <f>1+1</f>
      </c>
      <c r="D49" s="582">
        <f>1+1</f>
      </c>
      <c r="E49" s="582">
        <f>1+1</f>
      </c>
      <c r="F49" s="582">
        <f>1+1</f>
      </c>
      <c r="G49" s="582">
        <f>1+1</f>
      </c>
    </row>
    <row r="50" spans="1:7" x14ac:dyDescent="0.35">
      <c r="A50" s="571">
        <f>1+1</f>
      </c>
      <c r="B50" s="572">
        <f>1+1</f>
      </c>
      <c r="C50" s="572">
        <f>1+1</f>
      </c>
      <c r="D50" s="572">
        <f>1+1</f>
      </c>
      <c r="E50" s="572">
        <f>1+1</f>
      </c>
      <c r="F50" s="572">
        <f>1+1</f>
      </c>
      <c r="G50" s="572">
        <f>1+1</f>
      </c>
    </row>
    <row r="51" spans="1:7" x14ac:dyDescent="0.35">
      <c r="A51" s="570">
        <f>1+1</f>
      </c>
      <c r="B51" s="582">
        <f>1+1</f>
      </c>
      <c r="C51" s="582">
        <f>1+1</f>
      </c>
      <c r="D51" s="582">
        <f>1+1</f>
      </c>
      <c r="E51" s="582">
        <f>1+1</f>
      </c>
      <c r="F51" s="582">
        <f>1+1</f>
      </c>
      <c r="G51" s="582">
        <f>1+1</f>
      </c>
    </row>
    <row r="52" spans="1:7" x14ac:dyDescent="0.35">
      <c r="A52" s="505">
        <f>1+1</f>
      </c>
      <c r="B52" s="582">
        <f>1+1</f>
      </c>
      <c r="C52" s="582">
        <f>1+1</f>
      </c>
      <c r="D52" s="582">
        <f>1+1</f>
      </c>
      <c r="E52" s="582">
        <f>1+1</f>
      </c>
      <c r="F52" s="582">
        <f>1+1</f>
      </c>
      <c r="G52" s="582">
        <f>1+1</f>
      </c>
    </row>
    <row r="53" spans="1:7" x14ac:dyDescent="0.35">
      <c r="A53" s="505">
        <f>1+1</f>
      </c>
      <c r="B53" s="574">
        <f>1+1</f>
      </c>
      <c r="C53" s="574">
        <f>1+1</f>
      </c>
      <c r="D53" s="574">
        <f>1+1</f>
      </c>
      <c r="E53" s="574">
        <f>1+1</f>
      </c>
      <c r="F53" s="574">
        <f>1+1</f>
      </c>
      <c r="G53" s="574">
        <f>1+1</f>
      </c>
    </row>
  </sheetData>
  <conditionalFormatting sqref="I8:I13">
    <cfRule dxfId="10" operator="lessThan" priority="1" type="cellIs">
      <formula>0</formula>
    </cfRule>
    <cfRule dxfId="9" operator="greaterThan" priority="2" type="cellIs">
      <formula>0</formula>
    </cfRule>
  </conditionalFormatting>
  <pageMargins bottom="0.75" footer="0.3" header="0.3" left="0.7" right="0.7" top="0.75"/>
  <pageSetup horizontalDpi="1200" orientation="portrait" r:id="rId1" verticalDpi="1200"/>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EB234-3DAA-4D84-A7DB-D455E4B5161C}">
  <dimension ref="A1:X9"/>
  <sheetViews>
    <sheetView workbookViewId="0" zoomScaleNormal="100"/>
  </sheetViews>
  <sheetFormatPr defaultColWidth="8.7265625" defaultRowHeight="14.5" x14ac:dyDescent="0.35"/>
  <cols>
    <col min="1" max="1" customWidth="true" style="1" width="2.7265625" collapsed="false"/>
    <col min="2" max="2" customWidth="true" style="1" width="34.81640625" collapsed="false"/>
    <col min="3" max="3" customWidth="true" style="1" width="27.54296875" collapsed="false"/>
    <col min="4" max="21" customWidth="true" style="35" width="11.81640625" collapsed="false"/>
    <col min="22" max="22" customWidth="true" style="42" width="11.81640625" collapsed="false"/>
    <col min="23" max="16384" style="1" width="8.7265625" collapsed="false"/>
  </cols>
  <sheetData>
    <row r="1" spans="1:23" x14ac:dyDescent="0.35">
      <c r="A1" s="19"/>
      <c r="B1" s="19"/>
      <c r="C1" s="19"/>
      <c r="D1" s="29"/>
      <c r="E1" s="29"/>
      <c r="F1" s="29"/>
      <c r="G1" s="29"/>
      <c r="H1" s="29"/>
      <c r="I1" s="29"/>
      <c r="J1" s="29"/>
      <c r="K1" s="29"/>
      <c r="L1" s="29"/>
      <c r="M1" s="29"/>
      <c r="N1" s="29"/>
      <c r="O1" s="29"/>
      <c r="P1" s="29"/>
      <c r="Q1" s="29"/>
      <c r="R1" s="29"/>
      <c r="S1" s="29"/>
      <c r="T1" s="29"/>
      <c r="U1" s="29"/>
      <c r="V1" s="38"/>
    </row>
    <row ht="18.5" r="2" spans="1:23" x14ac:dyDescent="0.35">
      <c r="A2" s="19"/>
      <c r="B2" s="20" t="s">
        <v>308</v>
      </c>
      <c r="C2" s="674" t="str">
        <f ca="1">IF(SUM(P:S)=0,"[You Have Not Uploaded a T-12 For This Property]","")</f>
        <v>[You Have Not Uploaded a T-12 For This Property]</v>
      </c>
      <c r="D2" s="29"/>
      <c r="E2" s="29"/>
      <c r="F2" s="29"/>
      <c r="G2" s="29"/>
      <c r="H2" s="29"/>
      <c r="I2" s="29"/>
      <c r="J2" s="29"/>
      <c r="K2" s="29"/>
      <c r="L2" s="29"/>
      <c r="M2" s="29"/>
      <c r="N2" s="29"/>
      <c r="O2" s="29"/>
      <c r="P2" s="29"/>
      <c r="Q2" s="29"/>
      <c r="R2" s="29"/>
      <c r="S2" s="29"/>
      <c r="T2" s="29"/>
      <c r="U2" s="29"/>
      <c r="V2" s="38"/>
    </row>
    <row ht="18.5" r="3" spans="1:23" x14ac:dyDescent="0.35">
      <c r="A3" s="19"/>
      <c r="B3" s="3" t="str">
        <f>IF(LEN("{property.name}")&gt;1,"{property.name}"&amp;" | "&amp;"{property.number_units}"&amp;" Units","{property.number_units}"&amp;" Units")</f>
        <v>{property.name} | {property.number_units} Units</v>
      </c>
      <c r="C3" s="21"/>
      <c r="D3" s="29"/>
      <c r="E3" s="29"/>
      <c r="F3" s="29"/>
      <c r="G3" s="29"/>
      <c r="H3" s="29"/>
      <c r="I3" s="29"/>
      <c r="J3" s="29"/>
      <c r="K3" s="29"/>
      <c r="L3" s="29"/>
      <c r="M3" s="29"/>
      <c r="N3" s="29"/>
      <c r="O3" s="29"/>
      <c r="P3" s="29"/>
      <c r="Q3" s="29"/>
      <c r="R3" s="29"/>
      <c r="S3" s="29"/>
      <c r="T3" s="29"/>
      <c r="U3" s="29"/>
      <c r="V3" s="38"/>
    </row>
    <row ht="18.5" r="4" spans="1:23" x14ac:dyDescent="0.35">
      <c r="A4" s="19"/>
      <c r="B4" s="21" t="s">
        <v>0</v>
      </c>
      <c r="C4" s="21"/>
      <c r="D4" s="30"/>
      <c r="E4" s="30"/>
      <c r="F4" s="30"/>
      <c r="G4" s="29"/>
      <c r="H4" s="29"/>
      <c r="I4" s="29"/>
      <c r="J4" s="29"/>
      <c r="K4" s="29"/>
      <c r="L4" s="29"/>
      <c r="M4" s="29"/>
      <c r="N4" s="29"/>
      <c r="O4" s="29"/>
      <c r="P4" s="29"/>
      <c r="Q4" s="29"/>
      <c r="R4" s="29"/>
      <c r="S4" s="29"/>
      <c r="T4" s="29"/>
      <c r="U4" s="29"/>
      <c r="V4" s="38"/>
    </row>
    <row ht="18.5" r="5" spans="1:23" x14ac:dyDescent="0.35">
      <c r="A5" s="19"/>
      <c r="B5" s="21"/>
      <c r="C5" s="21"/>
      <c r="D5" s="30"/>
      <c r="E5" s="30"/>
      <c r="F5" s="30"/>
      <c r="G5" s="29"/>
      <c r="H5" s="29"/>
      <c r="I5" s="29"/>
      <c r="J5" s="29"/>
      <c r="K5" s="29"/>
      <c r="L5" s="29"/>
      <c r="M5" s="29"/>
      <c r="N5" s="29"/>
      <c r="O5" s="29"/>
      <c r="P5" s="29"/>
      <c r="Q5" s="29"/>
      <c r="R5" s="29"/>
      <c r="S5" s="29"/>
      <c r="T5" s="29"/>
      <c r="U5" s="29"/>
      <c r="V5" s="38"/>
    </row>
    <row ht="21" r="6" spans="1:23" x14ac:dyDescent="0.35">
      <c r="A6" s="19"/>
      <c r="B6" s="22" t="s">
        <v>309</v>
      </c>
      <c r="C6" s="22"/>
      <c r="D6" s="31"/>
      <c r="E6" s="31"/>
      <c r="F6" s="31"/>
      <c r="G6" s="32"/>
      <c r="H6" s="29"/>
      <c r="I6" s="29"/>
      <c r="J6" s="29"/>
      <c r="K6" s="29"/>
      <c r="L6" s="29"/>
      <c r="M6" s="29"/>
      <c r="N6" s="29"/>
      <c r="O6" s="29"/>
      <c r="P6" s="680" t="s">
        <v>310</v>
      </c>
      <c r="Q6" s="681"/>
      <c r="R6" s="681"/>
      <c r="S6" s="682"/>
      <c r="T6" s="29"/>
      <c r="U6" s="29"/>
      <c r="V6" s="38"/>
    </row>
    <row r="7" spans="1:23" x14ac:dyDescent="0.35">
      <c r="A7" s="19"/>
      <c r="B7" s="23" t="s">
        <v>190</v>
      </c>
      <c r="C7" s="24"/>
      <c r="D7" s="25">
        <v>1</v>
      </c>
      <c r="E7" s="25">
        <v>2</v>
      </c>
      <c r="F7" s="25">
        <v>3</v>
      </c>
      <c r="G7" s="25">
        <v>4</v>
      </c>
      <c r="H7" s="25">
        <v>5</v>
      </c>
      <c r="I7" s="25">
        <v>6</v>
      </c>
      <c r="J7" s="25">
        <v>7</v>
      </c>
      <c r="K7" s="25">
        <v>8</v>
      </c>
      <c r="L7" s="25">
        <v>9</v>
      </c>
      <c r="M7" s="25">
        <v>10</v>
      </c>
      <c r="N7" s="25">
        <v>11</v>
      </c>
      <c r="O7" s="25">
        <v>12</v>
      </c>
      <c r="P7" s="36" t="s">
        <v>311</v>
      </c>
      <c r="Q7" s="36" t="s">
        <v>312</v>
      </c>
      <c r="R7" s="36" t="s">
        <v>313</v>
      </c>
      <c r="S7" s="36" t="s">
        <v>314</v>
      </c>
      <c r="T7" s="36" t="s">
        <v>315</v>
      </c>
      <c r="U7" s="36" t="s">
        <v>192</v>
      </c>
      <c r="V7" s="39" t="s">
        <v>193</v>
      </c>
      <c r="W7" s="28"/>
    </row>
    <row r="8" spans="1:23" x14ac:dyDescent="0.35">
      <c r="A8" s="19"/>
      <c r="B8" s="8" t="s">
        <v>316</v>
      </c>
      <c r="C8" s="26" t="s">
        <v>317</v>
      </c>
      <c r="D8" s="33" t="s">
        <v>318</v>
      </c>
      <c r="E8" s="33" t="s">
        <v>319</v>
      </c>
      <c r="F8" s="33" t="s">
        <v>320</v>
      </c>
      <c r="G8" s="33" t="s">
        <v>321</v>
      </c>
      <c r="H8" s="33" t="s">
        <v>322</v>
      </c>
      <c r="I8" s="33" t="s">
        <v>323</v>
      </c>
      <c r="J8" s="33" t="s">
        <v>324</v>
      </c>
      <c r="K8" s="33" t="s">
        <v>325</v>
      </c>
      <c r="L8" s="33" t="s">
        <v>326</v>
      </c>
      <c r="M8" s="33" t="s">
        <v>327</v>
      </c>
      <c r="N8" s="33" t="s">
        <v>328</v>
      </c>
      <c r="O8" s="33" t="s">
        <v>329</v>
      </c>
      <c r="P8" s="43" t="str">
        <f ca="1">IFERROR(AVERAGE(INDIRECT("L"&amp;ROW()):INDIRECT("N"&amp;ROW())),"")</f>
        <v/>
      </c>
      <c r="Q8" s="43" t="str">
        <f ca="1">IFERROR(AVERAGE(INDIRECT("I"&amp;ROW()):INDIRECT("N"&amp;ROW())),"")</f>
        <v/>
      </c>
      <c r="R8" s="43" t="str">
        <f ca="1">IFERROR(AVERAGE(INDIRECT("F"&amp;ROW()):INDIRECT("N"&amp;ROW())),"")</f>
        <v/>
      </c>
      <c r="S8" s="43" t="str">
        <f ca="1">IFERROR(AVERAGE(INDIRECT("C"&amp;ROW()):INDIRECT("N"&amp;ROW())),"")</f>
        <v/>
      </c>
      <c r="T8" s="37" t="str">
        <f ca="1">IFERROR(IF(SUM(INDIRECT("C"&amp;ROW()):INDIRECT("N"&amp;ROW()))=0,"",SUM(INDIRECT("C"&amp;ROW()):INDIRECT("N"&amp;ROW()))),"")</f>
        <v/>
      </c>
      <c r="U8" s="37" t="str">
        <f ca="1">IFERROR(INDIRECT("T"&amp;ROW())/"{property.number_units}","")</f>
        <v/>
      </c>
      <c r="V8" s="40" t="str">
        <f ca="1">IFERROR(INDIRECT("T"&amp;ROW())/"{unit_totals.sum_sqft}","")</f>
        <v/>
      </c>
      <c r="W8" s="28"/>
    </row>
    <row r="9" spans="1:23" x14ac:dyDescent="0.35">
      <c r="A9" s="19"/>
      <c r="B9" s="559"/>
      <c r="C9" s="27"/>
      <c r="D9" s="34"/>
      <c r="E9" s="34"/>
      <c r="F9" s="34"/>
      <c r="G9" s="34"/>
      <c r="H9" s="34"/>
      <c r="I9" s="34"/>
      <c r="J9" s="34"/>
      <c r="K9" s="34"/>
      <c r="L9" s="34"/>
      <c r="M9" s="34"/>
      <c r="N9" s="34"/>
      <c r="O9" s="34"/>
      <c r="P9" s="34"/>
      <c r="Q9" s="34"/>
      <c r="R9" s="34"/>
      <c r="S9" s="34"/>
      <c r="T9" s="34"/>
      <c r="U9" s="34"/>
      <c r="V9" s="41"/>
      <c r="W9" s="28"/>
    </row>
  </sheetData>
  <mergeCells count="1">
    <mergeCell ref="P6:S6"/>
  </mergeCells>
  <conditionalFormatting sqref="B8:O1008">
    <cfRule dxfId="7" priority="3" type="expression">
      <formula>INDIRECT("C"&amp;ROW())="TOTAL"</formula>
    </cfRule>
  </conditionalFormatting>
  <conditionalFormatting sqref="D1:V1048576">
    <cfRule dxfId="6" operator="lessThan" priority="2" type="cellIs">
      <formula>0</formula>
    </cfRule>
  </conditionalFormatting>
  <conditionalFormatting sqref="B1:V2 B4:V1048576 C3:V3">
    <cfRule dxfId="5" priority="1" type="expression">
      <formula>INDIRECT("C"&amp;ROW())="NOI"</formula>
    </cfRule>
  </conditionalFormatting>
  <pageMargins bottom="0.75" footer="0.3" header="0.3" left="0.7" right="0.7" top="0.75"/>
  <pageSetup copies="0" horizontalDpi="200" orientation="portrait" r:id="rId1" verticalDpi="200"/>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F722A-2ACC-420C-8D68-A97B5146FFEC}">
  <dimension ref="A1:AL118"/>
  <sheetViews>
    <sheetView workbookViewId="0" zoomScaleNormal="100"/>
  </sheetViews>
  <sheetFormatPr defaultColWidth="8.7265625" defaultRowHeight="14.5" x14ac:dyDescent="0.35"/>
  <cols>
    <col min="1" max="1" customWidth="true" style="207" width="2.7265625" collapsed="false"/>
    <col min="2" max="2" customWidth="true" style="207" width="22.1796875" collapsed="false"/>
    <col min="3" max="26" customWidth="true" style="207" width="16.0" collapsed="false"/>
    <col min="27" max="30" customWidth="true" style="207" width="12.54296875" collapsed="false"/>
    <col min="31" max="16384" style="52" width="8.7265625" collapsed="false"/>
  </cols>
  <sheetData>
    <row r="1" spans="2:37" x14ac:dyDescent="0.35">
      <c r="AE1" s="207"/>
      <c r="AF1" s="207"/>
      <c r="AG1" s="207"/>
      <c r="AH1" s="207"/>
      <c r="AI1" s="207"/>
      <c r="AJ1" s="207"/>
      <c r="AK1" s="207"/>
    </row>
    <row ht="18.5" r="2" spans="2:37" x14ac:dyDescent="0.35">
      <c r="B2" s="4" t="s">
        <v>249</v>
      </c>
      <c r="C2" s="4"/>
      <c r="AE2" s="207"/>
      <c r="AF2" s="207"/>
      <c r="AG2" s="207"/>
      <c r="AH2" s="207"/>
      <c r="AI2" s="207"/>
      <c r="AJ2" s="207"/>
      <c r="AK2" s="207"/>
    </row>
    <row ht="18.5" r="3" spans="2:37" x14ac:dyDescent="0.35">
      <c r="B3" s="3" t="str">
        <f>IF(LEN("{property.name}")&gt;1,"{property.name}"&amp;" | "&amp;"{property.number_units}"&amp;" Units","{property.number_units}"&amp;" Units")</f>
        <v>{property.name} | {property.number_units} Units</v>
      </c>
      <c r="C3" s="5"/>
      <c r="AE3" s="207"/>
      <c r="AF3" s="207"/>
      <c r="AG3" s="207"/>
      <c r="AH3" s="207"/>
      <c r="AI3" s="207"/>
      <c r="AJ3" s="207"/>
      <c r="AK3" s="207"/>
    </row>
    <row ht="18.5" r="4" spans="2:37" x14ac:dyDescent="0.35">
      <c r="B4" s="5" t="s">
        <v>0</v>
      </c>
      <c r="C4" s="5"/>
      <c r="AE4" s="207"/>
      <c r="AF4" s="207"/>
      <c r="AG4" s="207"/>
      <c r="AH4" s="207"/>
      <c r="AI4" s="207"/>
      <c r="AJ4" s="207"/>
      <c r="AK4" s="207"/>
    </row>
    <row r="5" spans="2:37" x14ac:dyDescent="0.35">
      <c r="AE5" s="207"/>
      <c r="AF5" s="207"/>
      <c r="AG5" s="207"/>
      <c r="AH5" s="207"/>
      <c r="AI5" s="207"/>
      <c r="AJ5" s="207"/>
      <c r="AK5" s="207"/>
    </row>
    <row ht="15.5" r="6" spans="2:37" x14ac:dyDescent="0.35">
      <c r="B6" s="396" t="s">
        <v>278</v>
      </c>
      <c r="C6" s="397"/>
      <c r="D6" s="398" t="str">
        <f ca="1">IFERROR(ROUND(E35/D13,-3),"")</f>
        <v/>
      </c>
      <c r="AE6" s="207"/>
      <c r="AF6" s="207"/>
      <c r="AG6" s="207"/>
      <c r="AH6" s="207"/>
      <c r="AI6" s="207"/>
      <c r="AJ6" s="207"/>
      <c r="AK6" s="207"/>
    </row>
    <row r="7" spans="2:37" x14ac:dyDescent="0.35">
      <c r="AE7" s="207"/>
      <c r="AF7" s="207"/>
      <c r="AG7" s="207"/>
      <c r="AH7" s="207"/>
      <c r="AI7" s="207"/>
      <c r="AJ7" s="207"/>
      <c r="AK7" s="207"/>
    </row>
    <row r="8" spans="2:37" x14ac:dyDescent="0.35">
      <c r="B8" s="399" t="s">
        <v>250</v>
      </c>
      <c r="C8" s="400"/>
      <c r="D8" s="401"/>
      <c r="F8" s="399" t="s">
        <v>251</v>
      </c>
      <c r="G8" s="400"/>
      <c r="H8" s="401"/>
      <c r="J8" s="402"/>
      <c r="K8" s="403"/>
      <c r="L8" s="404"/>
      <c r="AE8" s="207"/>
      <c r="AF8" s="207"/>
      <c r="AG8" s="207"/>
      <c r="AH8" s="207"/>
      <c r="AI8" s="207"/>
      <c r="AJ8" s="207"/>
      <c r="AK8" s="207"/>
    </row>
    <row r="9" spans="2:37" x14ac:dyDescent="0.35">
      <c r="B9" s="405" t="s">
        <v>252</v>
      </c>
      <c r="C9" s="406"/>
      <c r="D9" s="407" t="s">
        <v>253</v>
      </c>
      <c r="F9" s="408" t="s">
        <v>254</v>
      </c>
      <c r="G9" s="409"/>
      <c r="H9" s="410">
        <v>0.7</v>
      </c>
      <c r="J9" s="411"/>
      <c r="K9" s="412"/>
      <c r="L9" s="413"/>
      <c r="AE9" s="207"/>
      <c r="AF9" s="207"/>
      <c r="AG9" s="207"/>
      <c r="AH9" s="207"/>
      <c r="AI9" s="207"/>
      <c r="AJ9" s="207"/>
      <c r="AK9" s="207"/>
    </row>
    <row r="10" spans="2:37" x14ac:dyDescent="0.35">
      <c r="B10" s="223" t="s">
        <v>255</v>
      </c>
      <c r="D10" s="414">
        <v>10</v>
      </c>
      <c r="F10" s="223" t="s">
        <v>256</v>
      </c>
      <c r="H10" s="415">
        <v>1.2</v>
      </c>
      <c r="J10" s="411"/>
      <c r="K10" s="416"/>
      <c r="L10" s="413"/>
      <c r="AE10" s="207"/>
      <c r="AF10" s="207"/>
      <c r="AG10" s="207"/>
      <c r="AH10" s="207"/>
      <c r="AI10" s="207"/>
      <c r="AJ10" s="207"/>
      <c r="AK10" s="207"/>
    </row>
    <row r="11" spans="2:37" x14ac:dyDescent="0.35">
      <c r="B11" s="223" t="s">
        <v>257</v>
      </c>
      <c r="D11" s="417">
        <v>0.03</v>
      </c>
      <c r="F11" s="223" t="s">
        <v>258</v>
      </c>
      <c r="H11" s="418">
        <v>3.5000000000000003E-2</v>
      </c>
      <c r="K11" s="419"/>
      <c r="L11" s="420"/>
      <c r="AE11" s="207"/>
      <c r="AF11" s="207"/>
      <c r="AG11" s="207"/>
      <c r="AH11" s="207"/>
      <c r="AI11" s="207"/>
      <c r="AJ11" s="207"/>
      <c r="AK11" s="207"/>
    </row>
    <row r="12" spans="2:37" x14ac:dyDescent="0.35">
      <c r="B12" s="421" t="s">
        <v>259</v>
      </c>
      <c r="C12" s="422"/>
      <c r="D12" s="423">
        <v>0.03</v>
      </c>
      <c r="F12" s="223" t="s">
        <v>260</v>
      </c>
      <c r="H12" s="414">
        <v>25</v>
      </c>
      <c r="K12" s="419"/>
      <c r="L12" s="420"/>
      <c r="AE12" s="207"/>
      <c r="AF12" s="207"/>
      <c r="AG12" s="207"/>
      <c r="AH12" s="207"/>
      <c r="AI12" s="207"/>
      <c r="AJ12" s="207"/>
      <c r="AK12" s="207"/>
    </row>
    <row r="13" spans="2:37" x14ac:dyDescent="0.35">
      <c r="B13" s="223" t="s">
        <v>261</v>
      </c>
      <c r="D13" s="528" t="str">
        <f>TEXT(IF("{property.cap_rate}"&gt;0,"{property.cap_rate}",6%),"0.00%")</f>
        <v>{property.cap_rate}</v>
      </c>
      <c r="F13" s="223" t="s">
        <v>262</v>
      </c>
      <c r="H13" s="414">
        <v>10</v>
      </c>
      <c r="K13" s="419"/>
      <c r="L13" s="420"/>
      <c r="AE13" s="207"/>
      <c r="AF13" s="207"/>
      <c r="AG13" s="207"/>
      <c r="AH13" s="207"/>
      <c r="AI13" s="207"/>
      <c r="AJ13" s="207"/>
      <c r="AK13" s="207"/>
    </row>
    <row r="14" spans="2:37" x14ac:dyDescent="0.35">
      <c r="B14" s="421" t="s">
        <v>263</v>
      </c>
      <c r="C14" s="422"/>
      <c r="D14" s="529" t="str">
        <f>TEXT(IF("{property.cap_rate}"&gt;0,"{property.cap_rate}",6%),"0.00%")</f>
        <v>{property.cap_rate}</v>
      </c>
      <c r="F14" s="223" t="s">
        <v>264</v>
      </c>
      <c r="H14" s="424" t="str">
        <f ca="1">IFERROR(MIN(PV(H11/12,IF(H12&gt;0,H12*12,999),-E35/$H$10/12,0),D6*$H$9),"")</f>
        <v/>
      </c>
      <c r="J14" s="411"/>
      <c r="K14" s="416"/>
      <c r="L14" s="425"/>
      <c r="AE14" s="207"/>
      <c r="AF14" s="207"/>
      <c r="AG14" s="207"/>
      <c r="AH14" s="207"/>
      <c r="AI14" s="207"/>
      <c r="AJ14" s="207"/>
      <c r="AK14" s="207"/>
    </row>
    <row r="15" spans="2:37" x14ac:dyDescent="0.35">
      <c r="B15" s="426" t="s">
        <v>344</v>
      </c>
      <c r="D15" s="417">
        <v>0.03</v>
      </c>
      <c r="F15" s="223" t="s">
        <v>265</v>
      </c>
      <c r="H15" s="424" t="str">
        <f ca="1">IFERROR(PMT(H11/12,IF(H12*12&gt;0,H12*12,999),H14,0),"")</f>
        <v/>
      </c>
      <c r="K15" s="419"/>
      <c r="L15" s="420"/>
      <c r="AE15" s="207"/>
      <c r="AF15" s="207"/>
      <c r="AG15" s="207"/>
      <c r="AH15" s="207"/>
      <c r="AI15" s="207"/>
      <c r="AJ15" s="207"/>
      <c r="AK15" s="207"/>
    </row>
    <row r="16" spans="2:37" x14ac:dyDescent="0.35">
      <c r="B16" s="427" t="s">
        <v>345</v>
      </c>
      <c r="C16" s="422"/>
      <c r="D16" s="423">
        <v>0.03</v>
      </c>
      <c r="F16" s="223" t="s">
        <v>267</v>
      </c>
      <c r="H16" s="424" t="str">
        <f ca="1">IFERROR(H15*12,"")</f>
        <v/>
      </c>
      <c r="K16" s="419"/>
      <c r="L16" s="420"/>
      <c r="AE16" s="207"/>
      <c r="AF16" s="207"/>
      <c r="AG16" s="207"/>
      <c r="AH16" s="207"/>
      <c r="AI16" s="207"/>
      <c r="AJ16" s="207"/>
      <c r="AK16" s="207"/>
    </row>
    <row r="17" spans="1:37" x14ac:dyDescent="0.35">
      <c r="B17" s="421" t="s">
        <v>266</v>
      </c>
      <c r="C17" s="422"/>
      <c r="D17" s="423">
        <v>0.15</v>
      </c>
      <c r="F17" s="421" t="s">
        <v>269</v>
      </c>
      <c r="G17" s="422"/>
      <c r="H17" s="428" t="str">
        <f ca="1">IFERROR(FV(H11/12,H13*12,H15,H14),"")</f>
        <v/>
      </c>
      <c r="K17" s="419"/>
      <c r="L17" s="420"/>
      <c r="AE17" s="207"/>
      <c r="AF17" s="207"/>
      <c r="AG17" s="207"/>
      <c r="AH17" s="207"/>
      <c r="AI17" s="207"/>
      <c r="AJ17" s="207"/>
      <c r="AK17" s="207"/>
    </row>
    <row r="18" spans="1:37" x14ac:dyDescent="0.35">
      <c r="B18" s="399" t="s">
        <v>268</v>
      </c>
      <c r="C18" s="400"/>
      <c r="D18" s="401"/>
      <c r="F18" s="223" t="s">
        <v>270</v>
      </c>
      <c r="H18" s="424" t="str">
        <f ca="1">IFERROR(D6+ABS(D41)-H14,"")</f>
        <v/>
      </c>
      <c r="K18" s="419"/>
      <c r="L18" s="420"/>
      <c r="AE18" s="207"/>
      <c r="AF18" s="207"/>
      <c r="AG18" s="207"/>
      <c r="AH18" s="207"/>
      <c r="AI18" s="207"/>
      <c r="AJ18" s="207"/>
      <c r="AK18" s="207"/>
    </row>
    <row r="19" spans="1:37" x14ac:dyDescent="0.35">
      <c r="B19" s="633" t="s">
        <v>419</v>
      </c>
      <c r="C19" s="409"/>
      <c r="D19" s="429" t="str">
        <f ca="1">IF(NPV(D17,E45:X45)=0,"",NPV(D17,E45:X45))</f>
        <v/>
      </c>
      <c r="F19" s="223" t="s">
        <v>271</v>
      </c>
      <c r="G19" s="430">
        <v>0.1</v>
      </c>
      <c r="H19" s="424" t="str">
        <f ca="1">IFERROR(G19*H18,"")</f>
        <v/>
      </c>
      <c r="K19" s="419"/>
      <c r="L19" s="420"/>
      <c r="AE19" s="207"/>
      <c r="AF19" s="207"/>
      <c r="AG19" s="207"/>
      <c r="AH19" s="207"/>
      <c r="AI19" s="207"/>
      <c r="AJ19" s="207"/>
      <c r="AK19" s="207"/>
    </row>
    <row r="20" spans="1:37" x14ac:dyDescent="0.35">
      <c r="B20" s="426" t="s">
        <v>420</v>
      </c>
      <c r="D20" s="431" t="str">
        <f ca="1">IFERROR(IF(NPV(D17,E70:Y70)=0,"",NPV(D17,E70:Y70)),"")</f>
        <v/>
      </c>
      <c r="F20" s="421" t="s">
        <v>273</v>
      </c>
      <c r="G20" s="432">
        <f>100%-G19</f>
        <v>0.9</v>
      </c>
      <c r="H20" s="428" t="str">
        <f ca="1">IFERROR(G20*H18,"")</f>
        <v/>
      </c>
      <c r="J20" s="411"/>
      <c r="K20" s="416"/>
      <c r="L20" s="425"/>
      <c r="AE20" s="207"/>
      <c r="AF20" s="207"/>
      <c r="AG20" s="207"/>
      <c r="AH20" s="207"/>
      <c r="AI20" s="207"/>
      <c r="AJ20" s="207"/>
      <c r="AK20" s="207"/>
    </row>
    <row r="21" spans="1:37" x14ac:dyDescent="0.35">
      <c r="B21" s="223" t="s">
        <v>272</v>
      </c>
      <c r="D21" s="431" t="str">
        <f ca="1">IFERROR(IF(NPV(D17,D70:Y70)=0,"",NPV(D17,D70:Y70)),"")</f>
        <v/>
      </c>
      <c r="F21" s="223" t="s">
        <v>275</v>
      </c>
      <c r="G21" s="433"/>
      <c r="H21" s="418">
        <v>0.1</v>
      </c>
      <c r="J21" s="411"/>
      <c r="K21" s="416"/>
      <c r="L21" s="425"/>
      <c r="AE21" s="207"/>
      <c r="AF21" s="207"/>
      <c r="AG21" s="207"/>
      <c r="AH21" s="207"/>
      <c r="AI21" s="207"/>
      <c r="AJ21" s="207"/>
      <c r="AK21" s="207"/>
    </row>
    <row r="22" spans="1:37" x14ac:dyDescent="0.35">
      <c r="B22" s="223" t="s">
        <v>274</v>
      </c>
      <c r="D22" s="434" t="str">
        <f ca="1">IFERROR(IRR(D70:Y70),"")</f>
        <v/>
      </c>
      <c r="F22" s="223" t="s">
        <v>277</v>
      </c>
      <c r="G22" s="433"/>
      <c r="H22" s="418">
        <v>0.25</v>
      </c>
      <c r="J22" s="435"/>
      <c r="L22" s="436"/>
      <c r="AE22" s="207"/>
      <c r="AF22" s="207"/>
      <c r="AG22" s="207"/>
      <c r="AH22" s="207"/>
      <c r="AI22" s="207"/>
      <c r="AJ22" s="207"/>
      <c r="AK22" s="207"/>
    </row>
    <row r="23" spans="1:37" x14ac:dyDescent="0.35">
      <c r="B23" s="421" t="s">
        <v>276</v>
      </c>
      <c r="C23" s="422"/>
      <c r="D23" s="437" t="str">
        <f ca="1">IFERROR(-E70/D70,"")</f>
        <v/>
      </c>
      <c r="F23" s="421" t="s">
        <v>279</v>
      </c>
      <c r="G23" s="432"/>
      <c r="H23" s="438">
        <f>1-H22</f>
        <v>0.75</v>
      </c>
      <c r="AE23" s="207"/>
      <c r="AF23" s="207"/>
      <c r="AG23" s="207"/>
      <c r="AH23" s="207"/>
      <c r="AI23" s="207"/>
      <c r="AJ23" s="207"/>
      <c r="AK23" s="207"/>
    </row>
    <row ht="15" r="24" spans="1:37" thickBot="1" x14ac:dyDescent="0.4">
      <c r="A24" s="439"/>
      <c r="B24" s="439"/>
      <c r="C24" s="439"/>
      <c r="D24" s="439"/>
      <c r="E24" s="439"/>
      <c r="F24" s="439"/>
      <c r="G24" s="439"/>
      <c r="H24" s="439"/>
      <c r="I24" s="439"/>
      <c r="J24" s="439"/>
      <c r="K24" s="439"/>
      <c r="L24" s="439"/>
      <c r="M24" s="439"/>
      <c r="N24" s="439"/>
      <c r="O24" s="439"/>
      <c r="P24" s="439"/>
      <c r="Q24" s="439"/>
      <c r="R24" s="439"/>
      <c r="S24" s="439"/>
      <c r="T24" s="439"/>
      <c r="U24" s="439"/>
      <c r="V24" s="439"/>
      <c r="W24" s="439"/>
      <c r="X24" s="439"/>
      <c r="Y24" s="439"/>
      <c r="Z24" s="439"/>
      <c r="AA24" s="439"/>
      <c r="AB24" s="439"/>
      <c r="AC24" s="439"/>
      <c r="AD24" s="439"/>
      <c r="AE24" s="439"/>
      <c r="AF24" s="439"/>
      <c r="AG24" s="439"/>
      <c r="AH24" s="439"/>
      <c r="AI24" s="439"/>
      <c r="AJ24" s="439"/>
      <c r="AK24" s="439"/>
    </row>
    <row r="25" spans="1:37" x14ac:dyDescent="0.35">
      <c r="AE25" s="207"/>
      <c r="AF25" s="207"/>
      <c r="AG25" s="207"/>
      <c r="AH25" s="207"/>
      <c r="AI25" s="207"/>
      <c r="AJ25" s="207"/>
      <c r="AK25" s="207"/>
    </row>
    <row ht="18.5" r="26" spans="1:37" x14ac:dyDescent="0.35">
      <c r="B26" s="4" t="s">
        <v>280</v>
      </c>
      <c r="AE26" s="207"/>
      <c r="AF26" s="207"/>
      <c r="AG26" s="207"/>
      <c r="AH26" s="207"/>
      <c r="AI26" s="207"/>
      <c r="AJ26" s="207"/>
      <c r="AK26" s="207"/>
    </row>
    <row r="27" spans="1:37" x14ac:dyDescent="0.35">
      <c r="B27" s="440" t="s">
        <v>190</v>
      </c>
      <c r="C27" s="440"/>
      <c r="D27" s="441">
        <v>0</v>
      </c>
      <c r="E27" s="442">
        <f ref="E27:Y27" si="0" t="shared">D27+1</f>
        <v>1</v>
      </c>
      <c r="F27" s="441">
        <f si="0" t="shared"/>
        <v>2</v>
      </c>
      <c r="G27" s="441">
        <f si="0" t="shared"/>
        <v>3</v>
      </c>
      <c r="H27" s="441">
        <f si="0" t="shared"/>
        <v>4</v>
      </c>
      <c r="I27" s="441">
        <f si="0" t="shared"/>
        <v>5</v>
      </c>
      <c r="J27" s="441">
        <f si="0" t="shared"/>
        <v>6</v>
      </c>
      <c r="K27" s="441">
        <f si="0" t="shared"/>
        <v>7</v>
      </c>
      <c r="L27" s="441">
        <f si="0" t="shared"/>
        <v>8</v>
      </c>
      <c r="M27" s="441">
        <f si="0" t="shared"/>
        <v>9</v>
      </c>
      <c r="N27" s="441">
        <f si="0" t="shared"/>
        <v>10</v>
      </c>
      <c r="O27" s="441">
        <f si="0" t="shared"/>
        <v>11</v>
      </c>
      <c r="P27" s="441">
        <f si="0" t="shared"/>
        <v>12</v>
      </c>
      <c r="Q27" s="441">
        <f si="0" t="shared"/>
        <v>13</v>
      </c>
      <c r="R27" s="441">
        <f si="0" t="shared"/>
        <v>14</v>
      </c>
      <c r="S27" s="441">
        <f si="0" t="shared"/>
        <v>15</v>
      </c>
      <c r="T27" s="441">
        <f si="0" t="shared"/>
        <v>16</v>
      </c>
      <c r="U27" s="441">
        <f si="0" t="shared"/>
        <v>17</v>
      </c>
      <c r="V27" s="441">
        <f si="0" t="shared"/>
        <v>18</v>
      </c>
      <c r="W27" s="441">
        <f si="0" t="shared"/>
        <v>19</v>
      </c>
      <c r="X27" s="441">
        <f si="0" t="shared"/>
        <v>20</v>
      </c>
      <c r="Y27" s="441">
        <f si="0" t="shared"/>
        <v>21</v>
      </c>
      <c r="AE27" s="207"/>
      <c r="AF27" s="207"/>
      <c r="AG27" s="207"/>
      <c r="AH27" s="207"/>
      <c r="AI27" s="207"/>
      <c r="AJ27" s="207"/>
      <c r="AK27" s="207"/>
    </row>
    <row r="28" spans="1:37" x14ac:dyDescent="0.35">
      <c r="B28" s="443" t="s">
        <v>203</v>
      </c>
      <c r="C28" s="443"/>
      <c r="D28" s="435"/>
      <c r="E28" s="444" t="str">
        <f>TEXT(IF($D$9="Enodo","{financials.totals.benchmark.base_rental_revenue.annual}","{financials.totals.custom.base_rental_revenue.annual}"),"#,##0")</f>
        <v>{financials.totals.custom.base_rental_revenue.annual}</v>
      </c>
      <c r="F28" s="445" t="str">
        <f ca="1" ref="F28:Y28" si="1" t="shared">IFERROR(IF(E$27&lt;=$D$10,OFFSET(INDIRECT(ADDRESS(ROW(), COLUMN())),0,-1)*(1+$D$11),0),"")</f>
        <v/>
      </c>
      <c r="G28" s="445" t="str">
        <f ca="1" si="1" t="shared"/>
        <v/>
      </c>
      <c r="H28" s="445" t="str">
        <f ca="1" si="1" t="shared"/>
        <v/>
      </c>
      <c r="I28" s="445" t="str">
        <f ca="1" si="1" t="shared"/>
        <v/>
      </c>
      <c r="J28" s="445" t="str">
        <f ca="1" si="1" t="shared"/>
        <v/>
      </c>
      <c r="K28" s="445" t="str">
        <f ca="1" si="1" t="shared"/>
        <v/>
      </c>
      <c r="L28" s="445" t="str">
        <f ca="1" si="1" t="shared"/>
        <v/>
      </c>
      <c r="M28" s="445" t="str">
        <f ca="1" si="1" t="shared"/>
        <v/>
      </c>
      <c r="N28" s="445" t="str">
        <f ca="1" si="1" t="shared"/>
        <v/>
      </c>
      <c r="O28" s="445" t="str">
        <f ca="1" si="1" t="shared"/>
        <v/>
      </c>
      <c r="P28" s="445">
        <f ca="1" si="1" t="shared"/>
        <v>0</v>
      </c>
      <c r="Q28" s="445">
        <f ca="1" si="1" t="shared"/>
        <v>0</v>
      </c>
      <c r="R28" s="445">
        <f ca="1" si="1" t="shared"/>
        <v>0</v>
      </c>
      <c r="S28" s="445">
        <f ca="1" si="1" t="shared"/>
        <v>0</v>
      </c>
      <c r="T28" s="445">
        <f ca="1" si="1" t="shared"/>
        <v>0</v>
      </c>
      <c r="U28" s="445">
        <f ca="1" si="1" t="shared"/>
        <v>0</v>
      </c>
      <c r="V28" s="445">
        <f ca="1" si="1" t="shared"/>
        <v>0</v>
      </c>
      <c r="W28" s="445">
        <f ca="1" si="1" t="shared"/>
        <v>0</v>
      </c>
      <c r="X28" s="445">
        <f ca="1" si="1" t="shared"/>
        <v>0</v>
      </c>
      <c r="Y28" s="445">
        <f ca="1" si="1" t="shared"/>
        <v>0</v>
      </c>
      <c r="Z28" s="425"/>
      <c r="AE28" s="207"/>
      <c r="AF28" s="207"/>
      <c r="AG28" s="207"/>
      <c r="AH28" s="207"/>
      <c r="AI28" s="207"/>
      <c r="AJ28" s="207"/>
      <c r="AK28" s="207"/>
    </row>
    <row r="29" spans="1:37" x14ac:dyDescent="0.35">
      <c r="B29" s="443" t="s">
        <v>212</v>
      </c>
      <c r="C29" s="443"/>
      <c r="D29" s="435"/>
      <c r="E29" s="444" t="str">
        <f>TEXT(IF($D$9="Enodo","{financials.totals.benchmark.other_income.annual}","{financials.totals.custom.other_income.annual}"),"#,##0")</f>
        <v>{financials.totals.custom.other_income.annual}</v>
      </c>
      <c r="F29" s="445" t="str">
        <f ca="1" ref="F29:Y29" si="2" t="shared">IFERROR(IF(E$27&lt;=$D$10,OFFSET(INDIRECT(ADDRESS(ROW(), COLUMN())),0,-1)*(1+$D$11),0),"")</f>
        <v/>
      </c>
      <c r="G29" s="445" t="str">
        <f ca="1" si="2" t="shared"/>
        <v/>
      </c>
      <c r="H29" s="445" t="str">
        <f ca="1" si="2" t="shared"/>
        <v/>
      </c>
      <c r="I29" s="445" t="str">
        <f ca="1" si="2" t="shared"/>
        <v/>
      </c>
      <c r="J29" s="445" t="str">
        <f ca="1" si="2" t="shared"/>
        <v/>
      </c>
      <c r="K29" s="445" t="str">
        <f ca="1" si="2" t="shared"/>
        <v/>
      </c>
      <c r="L29" s="445" t="str">
        <f ca="1" si="2" t="shared"/>
        <v/>
      </c>
      <c r="M29" s="445" t="str">
        <f ca="1" si="2" t="shared"/>
        <v/>
      </c>
      <c r="N29" s="445" t="str">
        <f ca="1" si="2" t="shared"/>
        <v/>
      </c>
      <c r="O29" s="445" t="str">
        <f ca="1" si="2" t="shared"/>
        <v/>
      </c>
      <c r="P29" s="445">
        <f ca="1" si="2" t="shared"/>
        <v>0</v>
      </c>
      <c r="Q29" s="445">
        <f ca="1" si="2" t="shared"/>
        <v>0</v>
      </c>
      <c r="R29" s="445">
        <f ca="1" si="2" t="shared"/>
        <v>0</v>
      </c>
      <c r="S29" s="445">
        <f ca="1" si="2" t="shared"/>
        <v>0</v>
      </c>
      <c r="T29" s="445">
        <f ca="1" si="2" t="shared"/>
        <v>0</v>
      </c>
      <c r="U29" s="445">
        <f ca="1" si="2" t="shared"/>
        <v>0</v>
      </c>
      <c r="V29" s="445">
        <f ca="1" si="2" t="shared"/>
        <v>0</v>
      </c>
      <c r="W29" s="445">
        <f ca="1" si="2" t="shared"/>
        <v>0</v>
      </c>
      <c r="X29" s="445">
        <f ca="1" si="2" t="shared"/>
        <v>0</v>
      </c>
      <c r="Y29" s="445">
        <f ca="1" si="2" t="shared"/>
        <v>0</v>
      </c>
      <c r="Z29" s="425"/>
      <c r="AE29" s="207"/>
      <c r="AF29" s="207"/>
      <c r="AG29" s="207"/>
      <c r="AH29" s="207"/>
      <c r="AI29" s="207"/>
      <c r="AJ29" s="207"/>
      <c r="AK29" s="207"/>
    </row>
    <row r="30" spans="1:37" x14ac:dyDescent="0.35">
      <c r="B30" s="440" t="s">
        <v>219</v>
      </c>
      <c r="C30" s="440"/>
      <c r="D30" s="440"/>
      <c r="E30" s="446">
        <f ca="1">IFERROR(IF(D27&lt;=$D$10,INDIRECT("F"&amp;ROW())/(1+$D$11),""),"")</f>
        <v>0</v>
      </c>
      <c r="F30" s="447">
        <f ca="1" ref="F30:Y30" si="3" t="shared">IFERROR(IF(E27&lt;=$D$10,SUM(F28:F29),""),"")</f>
        <v>0</v>
      </c>
      <c r="G30" s="447">
        <f ca="1" si="3" t="shared"/>
        <v>0</v>
      </c>
      <c r="H30" s="447">
        <f ca="1" si="3" t="shared"/>
        <v>0</v>
      </c>
      <c r="I30" s="447">
        <f ca="1" si="3" t="shared"/>
        <v>0</v>
      </c>
      <c r="J30" s="447">
        <f ca="1" si="3" t="shared"/>
        <v>0</v>
      </c>
      <c r="K30" s="447">
        <f ca="1" si="3" t="shared"/>
        <v>0</v>
      </c>
      <c r="L30" s="447">
        <f ca="1" si="3" t="shared"/>
        <v>0</v>
      </c>
      <c r="M30" s="447">
        <f ca="1" si="3" t="shared"/>
        <v>0</v>
      </c>
      <c r="N30" s="447">
        <f ca="1" si="3" t="shared"/>
        <v>0</v>
      </c>
      <c r="O30" s="447">
        <f ca="1" si="3" t="shared"/>
        <v>0</v>
      </c>
      <c r="P30" s="447" t="str">
        <f si="3" t="shared"/>
        <v/>
      </c>
      <c r="Q30" s="447" t="str">
        <f si="3" t="shared"/>
        <v/>
      </c>
      <c r="R30" s="447" t="str">
        <f si="3" t="shared"/>
        <v/>
      </c>
      <c r="S30" s="447" t="str">
        <f si="3" t="shared"/>
        <v/>
      </c>
      <c r="T30" s="447" t="str">
        <f si="3" t="shared"/>
        <v/>
      </c>
      <c r="U30" s="447" t="str">
        <f si="3" t="shared"/>
        <v/>
      </c>
      <c r="V30" s="447" t="str">
        <f si="3" t="shared"/>
        <v/>
      </c>
      <c r="W30" s="447" t="str">
        <f si="3" t="shared"/>
        <v/>
      </c>
      <c r="X30" s="447" t="str">
        <f si="3" t="shared"/>
        <v/>
      </c>
      <c r="Y30" s="447" t="str">
        <f si="3" t="shared"/>
        <v/>
      </c>
      <c r="AE30" s="207"/>
      <c r="AF30" s="207"/>
      <c r="AG30" s="207"/>
      <c r="AH30" s="207"/>
      <c r="AI30" s="207"/>
      <c r="AJ30" s="207"/>
      <c r="AK30" s="207"/>
    </row>
    <row r="31" spans="1:37" x14ac:dyDescent="0.35">
      <c r="B31" s="411"/>
      <c r="C31" s="411"/>
      <c r="E31" s="419"/>
      <c r="F31" s="419"/>
      <c r="G31" s="419"/>
      <c r="H31" s="419"/>
      <c r="I31" s="419"/>
      <c r="J31" s="419"/>
      <c r="K31" s="419"/>
      <c r="L31" s="419"/>
      <c r="M31" s="419"/>
      <c r="N31" s="419"/>
      <c r="O31" s="419"/>
      <c r="P31" s="419"/>
      <c r="Q31" s="419"/>
      <c r="R31" s="419"/>
      <c r="S31" s="419"/>
      <c r="T31" s="419"/>
      <c r="U31" s="419"/>
      <c r="V31" s="419"/>
      <c r="W31" s="419"/>
      <c r="X31" s="419"/>
      <c r="Y31" s="419"/>
      <c r="AE31" s="207"/>
      <c r="AF31" s="207"/>
      <c r="AG31" s="207"/>
      <c r="AH31" s="207"/>
      <c r="AI31" s="207"/>
      <c r="AJ31" s="207"/>
      <c r="AK31" s="207"/>
    </row>
    <row r="32" spans="1:37" x14ac:dyDescent="0.35">
      <c r="B32" s="448" t="s">
        <v>232</v>
      </c>
      <c r="C32" s="449"/>
      <c r="D32" s="450"/>
      <c r="E32" s="451" t="str">
        <f>TEXT(IF($D$9="Enodo","{financials.totals.benchmark.total_operating_expenses.annual}","{financials.totals.custom.total_operating_expenses.annual}"),"#,##0")</f>
        <v>{financials.totals.custom.total_operating_expenses.annual}</v>
      </c>
      <c r="F32" s="450" t="str">
        <f ref="F32:Y32" si="4" t="shared">IFERROR(IF(E27&lt;=$D$10,E32*(1+$D$12),""),"")</f>
        <v/>
      </c>
      <c r="G32" s="450" t="str">
        <f si="4" t="shared"/>
        <v/>
      </c>
      <c r="H32" s="450" t="str">
        <f si="4" t="shared"/>
        <v/>
      </c>
      <c r="I32" s="450" t="str">
        <f si="4" t="shared"/>
        <v/>
      </c>
      <c r="J32" s="450" t="str">
        <f si="4" t="shared"/>
        <v/>
      </c>
      <c r="K32" s="450" t="str">
        <f si="4" t="shared"/>
        <v/>
      </c>
      <c r="L32" s="450" t="str">
        <f si="4" t="shared"/>
        <v/>
      </c>
      <c r="M32" s="450" t="str">
        <f si="4" t="shared"/>
        <v/>
      </c>
      <c r="N32" s="450" t="str">
        <f si="4" t="shared"/>
        <v/>
      </c>
      <c r="O32" s="450" t="str">
        <f si="4" t="shared"/>
        <v/>
      </c>
      <c r="P32" s="450" t="str">
        <f si="4" t="shared"/>
        <v/>
      </c>
      <c r="Q32" s="450" t="str">
        <f si="4" t="shared"/>
        <v/>
      </c>
      <c r="R32" s="450" t="str">
        <f si="4" t="shared"/>
        <v/>
      </c>
      <c r="S32" s="450" t="str">
        <f si="4" t="shared"/>
        <v/>
      </c>
      <c r="T32" s="450" t="str">
        <f si="4" t="shared"/>
        <v/>
      </c>
      <c r="U32" s="450" t="str">
        <f si="4" t="shared"/>
        <v/>
      </c>
      <c r="V32" s="450" t="str">
        <f si="4" t="shared"/>
        <v/>
      </c>
      <c r="W32" s="450" t="str">
        <f si="4" t="shared"/>
        <v/>
      </c>
      <c r="X32" s="450" t="str">
        <f si="4" t="shared"/>
        <v/>
      </c>
      <c r="Y32" s="450" t="str">
        <f si="4" t="shared"/>
        <v/>
      </c>
      <c r="AE32" s="207"/>
      <c r="AF32" s="207"/>
      <c r="AG32" s="207"/>
      <c r="AH32" s="207"/>
      <c r="AI32" s="207"/>
      <c r="AJ32" s="207"/>
      <c r="AK32" s="207"/>
    </row>
    <row customFormat="1" r="33" s="347" spans="1:37" x14ac:dyDescent="0.35">
      <c r="A33" s="452"/>
      <c r="B33" s="585" t="s">
        <v>346</v>
      </c>
      <c r="C33" s="585"/>
      <c r="D33" s="585"/>
      <c r="E33" s="585" t="str">
        <f ca="1">IFERROR(IF(-E32/E30&gt;0,-E32/E30,""),"")</f>
        <v/>
      </c>
      <c r="F33" s="585" t="str">
        <f ca="1" ref="F33:Y33" si="5" t="shared">IFERROR(IF(-F32/F30&gt;0,-F32/F30,""),"")</f>
        <v/>
      </c>
      <c r="G33" s="585" t="str">
        <f ca="1" si="5" t="shared"/>
        <v/>
      </c>
      <c r="H33" s="585" t="str">
        <f ca="1" si="5" t="shared"/>
        <v/>
      </c>
      <c r="I33" s="585" t="str">
        <f ca="1" si="5" t="shared"/>
        <v/>
      </c>
      <c r="J33" s="585" t="str">
        <f ca="1" si="5" t="shared"/>
        <v/>
      </c>
      <c r="K33" s="585" t="str">
        <f ca="1" si="5" t="shared"/>
        <v/>
      </c>
      <c r="L33" s="585" t="str">
        <f ca="1" si="5" t="shared"/>
        <v/>
      </c>
      <c r="M33" s="585" t="str">
        <f ca="1" si="5" t="shared"/>
        <v/>
      </c>
      <c r="N33" s="585" t="str">
        <f ca="1" si="5" t="shared"/>
        <v/>
      </c>
      <c r="O33" s="585" t="str">
        <f ca="1" si="5" t="shared"/>
        <v/>
      </c>
      <c r="P33" s="585" t="str">
        <f si="5" t="shared"/>
        <v/>
      </c>
      <c r="Q33" s="585" t="str">
        <f si="5" t="shared"/>
        <v/>
      </c>
      <c r="R33" s="585" t="str">
        <f si="5" t="shared"/>
        <v/>
      </c>
      <c r="S33" s="585" t="str">
        <f si="5" t="shared"/>
        <v/>
      </c>
      <c r="T33" s="585" t="str">
        <f si="5" t="shared"/>
        <v/>
      </c>
      <c r="U33" s="585" t="str">
        <f si="5" t="shared"/>
        <v/>
      </c>
      <c r="V33" s="585" t="str">
        <f si="5" t="shared"/>
        <v/>
      </c>
      <c r="W33" s="585" t="str">
        <f si="5" t="shared"/>
        <v/>
      </c>
      <c r="X33" s="585" t="str">
        <f si="5" t="shared"/>
        <v/>
      </c>
      <c r="Y33" s="585" t="str">
        <f si="5" t="shared"/>
        <v/>
      </c>
      <c r="Z33" s="452"/>
      <c r="AA33" s="452"/>
      <c r="AB33" s="452"/>
      <c r="AC33" s="452"/>
      <c r="AD33" s="452"/>
      <c r="AE33" s="452"/>
      <c r="AF33" s="452"/>
      <c r="AG33" s="452"/>
      <c r="AH33" s="452"/>
      <c r="AI33" s="452"/>
      <c r="AJ33" s="452"/>
      <c r="AK33" s="452"/>
    </row>
    <row r="34" spans="1:37" x14ac:dyDescent="0.35">
      <c r="B34" s="411"/>
      <c r="C34" s="411"/>
      <c r="E34" s="425"/>
      <c r="F34" s="425"/>
      <c r="G34" s="425"/>
      <c r="H34" s="425"/>
      <c r="I34" s="425"/>
      <c r="J34" s="425"/>
      <c r="K34" s="425"/>
      <c r="L34" s="425"/>
      <c r="M34" s="425"/>
      <c r="N34" s="425"/>
      <c r="O34" s="425"/>
      <c r="P34" s="425"/>
      <c r="Q34" s="425"/>
      <c r="R34" s="425"/>
      <c r="S34" s="425"/>
      <c r="T34" s="425"/>
      <c r="U34" s="425"/>
      <c r="V34" s="425"/>
      <c r="W34" s="425"/>
      <c r="X34" s="425"/>
      <c r="Y34" s="425"/>
      <c r="AE34" s="207"/>
      <c r="AF34" s="207"/>
      <c r="AG34" s="207"/>
      <c r="AH34" s="207"/>
      <c r="AI34" s="207"/>
      <c r="AJ34" s="207"/>
      <c r="AK34" s="207"/>
    </row>
    <row r="35" spans="1:37" x14ac:dyDescent="0.35">
      <c r="B35" s="453" t="s">
        <v>239</v>
      </c>
      <c r="C35" s="453"/>
      <c r="D35" s="453"/>
      <c r="E35" s="454" t="str">
        <f ca="1" ref="E35:Y35" si="6" t="shared">IFERROR(IF(D27&lt;=$D$10,E30+E32,""),"")</f>
        <v/>
      </c>
      <c r="F35" s="454" t="str">
        <f ca="1" si="6" t="shared"/>
        <v/>
      </c>
      <c r="G35" s="454" t="str">
        <f ca="1" si="6" t="shared"/>
        <v/>
      </c>
      <c r="H35" s="454" t="str">
        <f ca="1" si="6" t="shared"/>
        <v/>
      </c>
      <c r="I35" s="454" t="str">
        <f ca="1" si="6" t="shared"/>
        <v/>
      </c>
      <c r="J35" s="454" t="str">
        <f ca="1" si="6" t="shared"/>
        <v/>
      </c>
      <c r="K35" s="454" t="str">
        <f ca="1" si="6" t="shared"/>
        <v/>
      </c>
      <c r="L35" s="454" t="str">
        <f ca="1" si="6" t="shared"/>
        <v/>
      </c>
      <c r="M35" s="454" t="str">
        <f ca="1" si="6" t="shared"/>
        <v/>
      </c>
      <c r="N35" s="454" t="str">
        <f ca="1" si="6" t="shared"/>
        <v/>
      </c>
      <c r="O35" s="454" t="str">
        <f ca="1" si="6" t="shared"/>
        <v/>
      </c>
      <c r="P35" s="454" t="str">
        <f si="6" t="shared"/>
        <v/>
      </c>
      <c r="Q35" s="454" t="str">
        <f si="6" t="shared"/>
        <v/>
      </c>
      <c r="R35" s="454" t="str">
        <f si="6" t="shared"/>
        <v/>
      </c>
      <c r="S35" s="454" t="str">
        <f si="6" t="shared"/>
        <v/>
      </c>
      <c r="T35" s="454" t="str">
        <f si="6" t="shared"/>
        <v/>
      </c>
      <c r="U35" s="454" t="str">
        <f si="6" t="shared"/>
        <v/>
      </c>
      <c r="V35" s="454" t="str">
        <f si="6" t="shared"/>
        <v/>
      </c>
      <c r="W35" s="454" t="str">
        <f si="6" t="shared"/>
        <v/>
      </c>
      <c r="X35" s="454" t="str">
        <f si="6" t="shared"/>
        <v/>
      </c>
      <c r="Y35" s="454" t="str">
        <f si="6" t="shared"/>
        <v/>
      </c>
      <c r="AE35" s="207"/>
      <c r="AF35" s="207"/>
      <c r="AG35" s="207"/>
      <c r="AH35" s="207"/>
      <c r="AI35" s="207"/>
      <c r="AJ35" s="207"/>
      <c r="AK35" s="207"/>
    </row>
    <row ht="15" r="36" spans="1:37" thickBot="1" x14ac:dyDescent="0.4">
      <c r="A36" s="439"/>
      <c r="B36" s="439"/>
      <c r="C36" s="439"/>
      <c r="D36" s="455"/>
      <c r="E36" s="439"/>
      <c r="F36" s="439"/>
      <c r="G36" s="439"/>
      <c r="H36" s="439"/>
      <c r="I36" s="439"/>
      <c r="J36" s="439"/>
      <c r="K36" s="439"/>
      <c r="L36" s="439"/>
      <c r="M36" s="439"/>
      <c r="N36" s="439"/>
      <c r="O36" s="439"/>
      <c r="P36" s="439"/>
      <c r="Q36" s="439"/>
      <c r="R36" s="439"/>
      <c r="S36" s="439"/>
      <c r="T36" s="439"/>
      <c r="U36" s="439"/>
      <c r="V36" s="439"/>
      <c r="W36" s="439"/>
      <c r="X36" s="439"/>
      <c r="Y36" s="439"/>
      <c r="Z36" s="439"/>
      <c r="AA36" s="439"/>
      <c r="AB36" s="439"/>
      <c r="AC36" s="439"/>
      <c r="AD36" s="439"/>
      <c r="AE36" s="439"/>
      <c r="AF36" s="439"/>
      <c r="AG36" s="439"/>
      <c r="AH36" s="439"/>
      <c r="AI36" s="439"/>
      <c r="AJ36" s="439"/>
      <c r="AK36" s="439"/>
    </row>
    <row r="37" spans="1:37" x14ac:dyDescent="0.35">
      <c r="D37" s="209"/>
      <c r="AE37" s="207"/>
      <c r="AF37" s="207"/>
      <c r="AG37" s="207"/>
      <c r="AH37" s="207"/>
      <c r="AI37" s="207"/>
      <c r="AJ37" s="207"/>
      <c r="AK37" s="207"/>
    </row>
    <row ht="18.5" r="38" spans="1:37" x14ac:dyDescent="0.35">
      <c r="B38" s="4" t="s">
        <v>281</v>
      </c>
      <c r="D38" s="209"/>
      <c r="AE38" s="207"/>
      <c r="AF38" s="207"/>
      <c r="AG38" s="207"/>
      <c r="AH38" s="207"/>
      <c r="AI38" s="207"/>
      <c r="AJ38" s="207"/>
      <c r="AK38" s="207"/>
    </row>
    <row r="39" spans="1:37" x14ac:dyDescent="0.35">
      <c r="B39" s="456" t="s">
        <v>281</v>
      </c>
      <c r="C39" s="457"/>
      <c r="D39" s="458">
        <v>0</v>
      </c>
      <c r="E39" s="459">
        <f ref="E39:Y39" si="7" t="shared">D39+1</f>
        <v>1</v>
      </c>
      <c r="F39" s="458">
        <f si="7" t="shared"/>
        <v>2</v>
      </c>
      <c r="G39" s="458">
        <f si="7" t="shared"/>
        <v>3</v>
      </c>
      <c r="H39" s="458">
        <f si="7" t="shared"/>
        <v>4</v>
      </c>
      <c r="I39" s="458">
        <f si="7" t="shared"/>
        <v>5</v>
      </c>
      <c r="J39" s="458">
        <f si="7" t="shared"/>
        <v>6</v>
      </c>
      <c r="K39" s="458">
        <f si="7" t="shared"/>
        <v>7</v>
      </c>
      <c r="L39" s="458">
        <f si="7" t="shared"/>
        <v>8</v>
      </c>
      <c r="M39" s="458">
        <f si="7" t="shared"/>
        <v>9</v>
      </c>
      <c r="N39" s="458">
        <f si="7" t="shared"/>
        <v>10</v>
      </c>
      <c r="O39" s="458">
        <f si="7" t="shared"/>
        <v>11</v>
      </c>
      <c r="P39" s="458">
        <f si="7" t="shared"/>
        <v>12</v>
      </c>
      <c r="Q39" s="458">
        <f si="7" t="shared"/>
        <v>13</v>
      </c>
      <c r="R39" s="458">
        <f si="7" t="shared"/>
        <v>14</v>
      </c>
      <c r="S39" s="458">
        <f si="7" t="shared"/>
        <v>15</v>
      </c>
      <c r="T39" s="458">
        <f si="7" t="shared"/>
        <v>16</v>
      </c>
      <c r="U39" s="458">
        <f si="7" t="shared"/>
        <v>17</v>
      </c>
      <c r="V39" s="458">
        <f si="7" t="shared"/>
        <v>18</v>
      </c>
      <c r="W39" s="458">
        <f si="7" t="shared"/>
        <v>19</v>
      </c>
      <c r="X39" s="458">
        <f si="7" t="shared"/>
        <v>20</v>
      </c>
      <c r="Y39" s="458">
        <f si="7" t="shared"/>
        <v>21</v>
      </c>
      <c r="AE39" s="207"/>
      <c r="AF39" s="207"/>
      <c r="AG39" s="207"/>
      <c r="AH39" s="207"/>
      <c r="AI39" s="207"/>
      <c r="AJ39" s="207"/>
      <c r="AK39" s="207"/>
    </row>
    <row r="40" spans="1:37" x14ac:dyDescent="0.35">
      <c r="B40" s="207" t="s">
        <v>278</v>
      </c>
      <c r="D40" s="425" t="str">
        <f ca="1">IFERROR(-D6,"")</f>
        <v/>
      </c>
      <c r="E40" s="460"/>
      <c r="F40" s="425"/>
      <c r="G40" s="425"/>
      <c r="H40" s="425"/>
      <c r="I40" s="425"/>
      <c r="J40" s="425"/>
      <c r="K40" s="425"/>
      <c r="L40" s="425"/>
      <c r="M40" s="425"/>
      <c r="N40" s="425"/>
      <c r="O40" s="425"/>
      <c r="P40" s="425"/>
      <c r="Q40" s="425"/>
      <c r="R40" s="425"/>
      <c r="S40" s="425"/>
      <c r="T40" s="425"/>
      <c r="U40" s="425"/>
      <c r="V40" s="425"/>
      <c r="W40" s="425"/>
      <c r="X40" s="425"/>
      <c r="Y40" s="425"/>
      <c r="AE40" s="207"/>
      <c r="AF40" s="207"/>
      <c r="AG40" s="207"/>
      <c r="AH40" s="207"/>
      <c r="AI40" s="207"/>
      <c r="AJ40" s="207"/>
      <c r="AK40" s="207"/>
    </row>
    <row r="41" spans="1:37" x14ac:dyDescent="0.35">
      <c r="B41" s="461" t="s">
        <v>344</v>
      </c>
      <c r="D41" s="425" t="str">
        <f ca="1">IFERROR(-D15*D6,"")</f>
        <v/>
      </c>
      <c r="E41" s="460"/>
      <c r="F41" s="425"/>
      <c r="G41" s="425"/>
      <c r="H41" s="425"/>
      <c r="I41" s="425"/>
      <c r="J41" s="425"/>
      <c r="K41" s="425"/>
      <c r="L41" s="425"/>
      <c r="M41" s="425"/>
      <c r="N41" s="425"/>
      <c r="O41" s="425"/>
      <c r="P41" s="425"/>
      <c r="Q41" s="425"/>
      <c r="R41" s="425"/>
      <c r="S41" s="425"/>
      <c r="T41" s="425"/>
      <c r="U41" s="425"/>
      <c r="V41" s="425"/>
      <c r="W41" s="425"/>
      <c r="X41" s="425"/>
      <c r="Y41" s="425"/>
      <c r="AE41" s="207"/>
      <c r="AF41" s="207"/>
      <c r="AG41" s="207"/>
      <c r="AH41" s="207"/>
      <c r="AI41" s="207"/>
      <c r="AJ41" s="207"/>
      <c r="AK41" s="207"/>
    </row>
    <row r="42" spans="1:37" x14ac:dyDescent="0.35">
      <c r="B42" s="207" t="s">
        <v>282</v>
      </c>
      <c r="D42" s="425"/>
      <c r="E42" s="460" t="str">
        <f ca="1" ref="E42:Y42" si="8" t="shared">IF(E27&lt;=$D$10,E35,0)</f>
        <v/>
      </c>
      <c r="F42" s="425" t="str">
        <f ca="1" si="8" t="shared"/>
        <v/>
      </c>
      <c r="G42" s="425" t="str">
        <f ca="1" si="8" t="shared"/>
        <v/>
      </c>
      <c r="H42" s="425" t="str">
        <f ca="1" si="8" t="shared"/>
        <v/>
      </c>
      <c r="I42" s="425" t="str">
        <f ca="1" si="8" t="shared"/>
        <v/>
      </c>
      <c r="J42" s="425" t="str">
        <f ca="1" si="8" t="shared"/>
        <v/>
      </c>
      <c r="K42" s="425" t="str">
        <f ca="1" si="8" t="shared"/>
        <v/>
      </c>
      <c r="L42" s="425" t="str">
        <f ca="1" si="8" t="shared"/>
        <v/>
      </c>
      <c r="M42" s="425" t="str">
        <f ca="1" si="8" t="shared"/>
        <v/>
      </c>
      <c r="N42" s="425" t="str">
        <f ca="1" si="8" t="shared"/>
        <v/>
      </c>
      <c r="O42" s="425">
        <f si="8" t="shared"/>
        <v>0</v>
      </c>
      <c r="P42" s="425">
        <f si="8" t="shared"/>
        <v>0</v>
      </c>
      <c r="Q42" s="425">
        <f si="8" t="shared"/>
        <v>0</v>
      </c>
      <c r="R42" s="425">
        <f si="8" t="shared"/>
        <v>0</v>
      </c>
      <c r="S42" s="425">
        <f si="8" t="shared"/>
        <v>0</v>
      </c>
      <c r="T42" s="425">
        <f si="8" t="shared"/>
        <v>0</v>
      </c>
      <c r="U42" s="425">
        <f si="8" t="shared"/>
        <v>0</v>
      </c>
      <c r="V42" s="425">
        <f si="8" t="shared"/>
        <v>0</v>
      </c>
      <c r="W42" s="425">
        <f si="8" t="shared"/>
        <v>0</v>
      </c>
      <c r="X42" s="425">
        <f si="8" t="shared"/>
        <v>0</v>
      </c>
      <c r="Y42" s="425">
        <f si="8" t="shared"/>
        <v>0</v>
      </c>
      <c r="AE42" s="207"/>
      <c r="AF42" s="207"/>
      <c r="AG42" s="207"/>
      <c r="AH42" s="207"/>
      <c r="AI42" s="207"/>
      <c r="AJ42" s="207"/>
      <c r="AK42" s="207"/>
    </row>
    <row r="43" spans="1:37" x14ac:dyDescent="0.35">
      <c r="B43" s="207" t="s">
        <v>283</v>
      </c>
      <c r="D43" s="425"/>
      <c r="E43" s="460">
        <f ref="E43:Y43" si="9" t="shared">IFERROR(IF(E27=$D$10,F35/$D$14,0),"")</f>
        <v>0</v>
      </c>
      <c r="F43" s="425">
        <f si="9" t="shared"/>
        <v>0</v>
      </c>
      <c r="G43" s="425">
        <f si="9" t="shared"/>
        <v>0</v>
      </c>
      <c r="H43" s="425">
        <f si="9" t="shared"/>
        <v>0</v>
      </c>
      <c r="I43" s="425">
        <f si="9" t="shared"/>
        <v>0</v>
      </c>
      <c r="J43" s="425">
        <f si="9" t="shared"/>
        <v>0</v>
      </c>
      <c r="K43" s="425">
        <f si="9" t="shared"/>
        <v>0</v>
      </c>
      <c r="L43" s="425">
        <f si="9" t="shared"/>
        <v>0</v>
      </c>
      <c r="M43" s="425">
        <f si="9" t="shared"/>
        <v>0</v>
      </c>
      <c r="N43" s="425" t="str">
        <f ca="1" si="9" t="shared"/>
        <v/>
      </c>
      <c r="O43" s="425">
        <f si="9" t="shared"/>
        <v>0</v>
      </c>
      <c r="P43" s="425">
        <f si="9" t="shared"/>
        <v>0</v>
      </c>
      <c r="Q43" s="425">
        <f si="9" t="shared"/>
        <v>0</v>
      </c>
      <c r="R43" s="425">
        <f si="9" t="shared"/>
        <v>0</v>
      </c>
      <c r="S43" s="425">
        <f si="9" t="shared"/>
        <v>0</v>
      </c>
      <c r="T43" s="425">
        <f si="9" t="shared"/>
        <v>0</v>
      </c>
      <c r="U43" s="425">
        <f si="9" t="shared"/>
        <v>0</v>
      </c>
      <c r="V43" s="425">
        <f si="9" t="shared"/>
        <v>0</v>
      </c>
      <c r="W43" s="425">
        <f si="9" t="shared"/>
        <v>0</v>
      </c>
      <c r="X43" s="425">
        <f si="9" t="shared"/>
        <v>0</v>
      </c>
      <c r="Y43" s="425">
        <f si="9" t="shared"/>
        <v>0</v>
      </c>
      <c r="AE43" s="207"/>
      <c r="AF43" s="207"/>
      <c r="AG43" s="207"/>
      <c r="AH43" s="207"/>
      <c r="AI43" s="207"/>
      <c r="AJ43" s="207"/>
      <c r="AK43" s="207"/>
    </row>
    <row r="44" spans="1:37" x14ac:dyDescent="0.35">
      <c r="B44" s="461" t="s">
        <v>345</v>
      </c>
      <c r="D44" s="425"/>
      <c r="E44" s="460">
        <f>IFERROR(-E68*$D$16,"")</f>
        <v>0</v>
      </c>
      <c r="F44" s="425">
        <f ref="F44:Y44" si="10" t="shared">IFERROR(-F68*$D$16,"")</f>
        <v>0</v>
      </c>
      <c r="G44" s="425">
        <f si="10" t="shared"/>
        <v>0</v>
      </c>
      <c r="H44" s="425">
        <f si="10" t="shared"/>
        <v>0</v>
      </c>
      <c r="I44" s="425">
        <f si="10" t="shared"/>
        <v>0</v>
      </c>
      <c r="J44" s="425">
        <f si="10" t="shared"/>
        <v>0</v>
      </c>
      <c r="K44" s="425">
        <f si="10" t="shared"/>
        <v>0</v>
      </c>
      <c r="L44" s="425">
        <f si="10" t="shared"/>
        <v>0</v>
      </c>
      <c r="M44" s="425">
        <f si="10" t="shared"/>
        <v>0</v>
      </c>
      <c r="N44" s="425" t="str">
        <f ca="1" si="10" t="shared"/>
        <v/>
      </c>
      <c r="O44" s="425">
        <f si="10" t="shared"/>
        <v>0</v>
      </c>
      <c r="P44" s="425">
        <f si="10" t="shared"/>
        <v>0</v>
      </c>
      <c r="Q44" s="425">
        <f si="10" t="shared"/>
        <v>0</v>
      </c>
      <c r="R44" s="425">
        <f si="10" t="shared"/>
        <v>0</v>
      </c>
      <c r="S44" s="425">
        <f si="10" t="shared"/>
        <v>0</v>
      </c>
      <c r="T44" s="425">
        <f si="10" t="shared"/>
        <v>0</v>
      </c>
      <c r="U44" s="425">
        <f si="10" t="shared"/>
        <v>0</v>
      </c>
      <c r="V44" s="425">
        <f si="10" t="shared"/>
        <v>0</v>
      </c>
      <c r="W44" s="425">
        <f si="10" t="shared"/>
        <v>0</v>
      </c>
      <c r="X44" s="425">
        <f si="10" t="shared"/>
        <v>0</v>
      </c>
      <c r="Y44" s="425">
        <f si="10" t="shared"/>
        <v>0</v>
      </c>
      <c r="AE44" s="207"/>
      <c r="AF44" s="207"/>
      <c r="AG44" s="207"/>
      <c r="AH44" s="207"/>
      <c r="AI44" s="207"/>
      <c r="AJ44" s="207"/>
      <c r="AK44" s="207"/>
    </row>
    <row r="45" spans="1:37" x14ac:dyDescent="0.35">
      <c r="B45" s="456" t="s">
        <v>284</v>
      </c>
      <c r="C45" s="456"/>
      <c r="D45" s="462" t="str">
        <f ca="1">IF(SUM(D40:D44)=0,"",SUM(D40:D44))</f>
        <v/>
      </c>
      <c r="E45" s="463">
        <f ca="1" ref="E45:Y45" si="11" t="shared">IFERROR(SUM(E40:E44),"")</f>
        <v>0</v>
      </c>
      <c r="F45" s="462">
        <f ca="1" si="11" t="shared"/>
        <v>0</v>
      </c>
      <c r="G45" s="462">
        <f ca="1" si="11" t="shared"/>
        <v>0</v>
      </c>
      <c r="H45" s="462">
        <f ca="1" si="11" t="shared"/>
        <v>0</v>
      </c>
      <c r="I45" s="462">
        <f ca="1" si="11" t="shared"/>
        <v>0</v>
      </c>
      <c r="J45" s="462">
        <f ca="1" si="11" t="shared"/>
        <v>0</v>
      </c>
      <c r="K45" s="462">
        <f ca="1" si="11" t="shared"/>
        <v>0</v>
      </c>
      <c r="L45" s="462">
        <f ca="1" si="11" t="shared"/>
        <v>0</v>
      </c>
      <c r="M45" s="462">
        <f ca="1" si="11" t="shared"/>
        <v>0</v>
      </c>
      <c r="N45" s="462">
        <f ca="1" si="11" t="shared"/>
        <v>0</v>
      </c>
      <c r="O45" s="462">
        <f si="11" t="shared"/>
        <v>0</v>
      </c>
      <c r="P45" s="462">
        <f si="11" t="shared"/>
        <v>0</v>
      </c>
      <c r="Q45" s="462">
        <f si="11" t="shared"/>
        <v>0</v>
      </c>
      <c r="R45" s="462">
        <f si="11" t="shared"/>
        <v>0</v>
      </c>
      <c r="S45" s="462">
        <f si="11" t="shared"/>
        <v>0</v>
      </c>
      <c r="T45" s="462">
        <f si="11" t="shared"/>
        <v>0</v>
      </c>
      <c r="U45" s="462">
        <f si="11" t="shared"/>
        <v>0</v>
      </c>
      <c r="V45" s="462">
        <f si="11" t="shared"/>
        <v>0</v>
      </c>
      <c r="W45" s="462">
        <f si="11" t="shared"/>
        <v>0</v>
      </c>
      <c r="X45" s="462">
        <f si="11" t="shared"/>
        <v>0</v>
      </c>
      <c r="Y45" s="462">
        <f si="11" t="shared"/>
        <v>0</v>
      </c>
      <c r="AE45" s="207"/>
      <c r="AF45" s="207"/>
      <c r="AG45" s="207"/>
      <c r="AH45" s="207"/>
      <c r="AI45" s="207"/>
      <c r="AJ45" s="207"/>
      <c r="AK45" s="207"/>
    </row>
    <row r="46" spans="1:37" x14ac:dyDescent="0.35">
      <c r="D46" s="209"/>
      <c r="AE46" s="207"/>
      <c r="AF46" s="207"/>
      <c r="AG46" s="207"/>
      <c r="AH46" s="207"/>
      <c r="AI46" s="207"/>
      <c r="AJ46" s="207"/>
      <c r="AK46" s="207"/>
    </row>
    <row r="47" spans="1:37" x14ac:dyDescent="0.35">
      <c r="B47" s="464" t="s">
        <v>285</v>
      </c>
      <c r="C47" s="465"/>
      <c r="D47" s="209"/>
      <c r="AE47" s="207"/>
      <c r="AF47" s="207"/>
      <c r="AG47" s="207"/>
      <c r="AH47" s="207"/>
      <c r="AI47" s="207"/>
      <c r="AJ47" s="207"/>
      <c r="AK47" s="207"/>
    </row>
    <row r="48" spans="1:37" x14ac:dyDescent="0.35">
      <c r="B48" s="466" t="s">
        <v>286</v>
      </c>
      <c r="C48" s="467" t="str">
        <f ca="1">IFERROR(IF(-D45=0,"",-D45),"")</f>
        <v/>
      </c>
      <c r="D48" s="209"/>
      <c r="AE48" s="207"/>
      <c r="AF48" s="207"/>
      <c r="AG48" s="207"/>
      <c r="AH48" s="207"/>
      <c r="AI48" s="207"/>
      <c r="AJ48" s="207"/>
      <c r="AK48" s="207"/>
    </row>
    <row r="49" spans="1:37" x14ac:dyDescent="0.35">
      <c r="B49" s="466" t="s">
        <v>363</v>
      </c>
      <c r="C49" s="467" t="str">
        <f ca="1">IFERROR(IF(SUM(E45:Y45)=0,"",SUM(E45:Y45)),"")</f>
        <v/>
      </c>
      <c r="D49" s="209"/>
      <c r="AE49" s="207"/>
      <c r="AF49" s="207"/>
      <c r="AG49" s="207"/>
      <c r="AH49" s="207"/>
      <c r="AI49" s="207"/>
      <c r="AJ49" s="207"/>
      <c r="AK49" s="207"/>
    </row>
    <row r="50" spans="1:37" x14ac:dyDescent="0.35">
      <c r="B50" s="466" t="s">
        <v>287</v>
      </c>
      <c r="C50" s="467" t="str">
        <f ca="1">IFERROR(IF(SUM(E45:Y45)+D45=0,"",SUM(E45:Y45)+D45),"")</f>
        <v/>
      </c>
      <c r="D50" s="209"/>
      <c r="AE50" s="207"/>
      <c r="AF50" s="207"/>
      <c r="AG50" s="207"/>
      <c r="AH50" s="207"/>
      <c r="AI50" s="207"/>
      <c r="AJ50" s="207"/>
      <c r="AK50" s="207"/>
    </row>
    <row r="51" spans="1:37" x14ac:dyDescent="0.35">
      <c r="B51" s="466" t="s">
        <v>288</v>
      </c>
      <c r="C51" s="468" t="str">
        <f ca="1">IFERROR(-SUM(E45:Y45)/D45,"")</f>
        <v/>
      </c>
      <c r="D51" s="209"/>
      <c r="AE51" s="207"/>
      <c r="AF51" s="207"/>
      <c r="AG51" s="207"/>
      <c r="AH51" s="207"/>
      <c r="AI51" s="207"/>
      <c r="AJ51" s="207"/>
      <c r="AK51" s="207"/>
    </row>
    <row r="52" spans="1:37" x14ac:dyDescent="0.35">
      <c r="B52" s="466" t="s">
        <v>274</v>
      </c>
      <c r="C52" s="469" t="str">
        <f ca="1">IFERROR(IRR(D45:Y45),"")</f>
        <v/>
      </c>
      <c r="D52" s="209"/>
      <c r="AE52" s="207"/>
      <c r="AF52" s="207"/>
      <c r="AG52" s="207"/>
      <c r="AH52" s="207"/>
      <c r="AI52" s="207"/>
      <c r="AJ52" s="207"/>
      <c r="AK52" s="207"/>
    </row>
    <row r="53" spans="1:37" x14ac:dyDescent="0.35">
      <c r="B53" s="470" t="s">
        <v>289</v>
      </c>
      <c r="C53" s="471" t="str">
        <f ca="1">IFERROR(-E45/D45,"")</f>
        <v/>
      </c>
      <c r="D53" s="209"/>
      <c r="AE53" s="207"/>
      <c r="AF53" s="207"/>
      <c r="AG53" s="207"/>
      <c r="AH53" s="207"/>
      <c r="AI53" s="207"/>
      <c r="AJ53" s="207"/>
      <c r="AK53" s="207"/>
    </row>
    <row ht="15" r="54" spans="1:37" thickBot="1" x14ac:dyDescent="0.4">
      <c r="A54" s="439"/>
      <c r="B54" s="439"/>
      <c r="C54" s="439"/>
      <c r="D54" s="455"/>
      <c r="E54" s="439"/>
      <c r="F54" s="439"/>
      <c r="G54" s="439"/>
      <c r="H54" s="439"/>
      <c r="I54" s="439"/>
      <c r="J54" s="439"/>
      <c r="K54" s="439"/>
      <c r="L54" s="439"/>
      <c r="M54" s="439"/>
      <c r="N54" s="439"/>
      <c r="O54" s="439"/>
      <c r="P54" s="439"/>
      <c r="Q54" s="439"/>
      <c r="R54" s="439"/>
      <c r="S54" s="439"/>
      <c r="T54" s="439"/>
      <c r="U54" s="439"/>
      <c r="V54" s="439"/>
      <c r="W54" s="439"/>
      <c r="X54" s="439"/>
      <c r="Y54" s="439"/>
      <c r="Z54" s="439"/>
      <c r="AA54" s="439"/>
      <c r="AB54" s="439"/>
      <c r="AC54" s="439"/>
      <c r="AD54" s="439"/>
      <c r="AE54" s="439"/>
      <c r="AF54" s="439"/>
      <c r="AG54" s="439"/>
      <c r="AH54" s="439"/>
      <c r="AI54" s="439"/>
      <c r="AJ54" s="439"/>
      <c r="AK54" s="439"/>
    </row>
    <row r="55" spans="1:37" x14ac:dyDescent="0.35">
      <c r="D55" s="209"/>
      <c r="AE55" s="207"/>
      <c r="AF55" s="207"/>
      <c r="AG55" s="207"/>
      <c r="AH55" s="207"/>
      <c r="AI55" s="207"/>
      <c r="AJ55" s="207"/>
      <c r="AK55" s="207"/>
    </row>
    <row ht="18.5" r="56" spans="1:37" x14ac:dyDescent="0.35">
      <c r="B56" s="4" t="s">
        <v>290</v>
      </c>
      <c r="D56" s="209"/>
      <c r="AE56" s="207"/>
      <c r="AF56" s="207"/>
      <c r="AG56" s="207"/>
      <c r="AH56" s="207"/>
      <c r="AI56" s="207"/>
      <c r="AJ56" s="207"/>
      <c r="AK56" s="207"/>
    </row>
    <row r="57" spans="1:37" x14ac:dyDescent="0.35">
      <c r="B57" s="472" t="s">
        <v>291</v>
      </c>
      <c r="C57" s="473"/>
      <c r="D57" s="474">
        <v>0</v>
      </c>
      <c r="E57" s="475">
        <f ref="E57:Y57" si="12" t="shared">D57+1</f>
        <v>1</v>
      </c>
      <c r="F57" s="474">
        <f si="12" t="shared"/>
        <v>2</v>
      </c>
      <c r="G57" s="474">
        <f si="12" t="shared"/>
        <v>3</v>
      </c>
      <c r="H57" s="474">
        <f si="12" t="shared"/>
        <v>4</v>
      </c>
      <c r="I57" s="474">
        <f si="12" t="shared"/>
        <v>5</v>
      </c>
      <c r="J57" s="474">
        <f si="12" t="shared"/>
        <v>6</v>
      </c>
      <c r="K57" s="474">
        <f si="12" t="shared"/>
        <v>7</v>
      </c>
      <c r="L57" s="474">
        <f si="12" t="shared"/>
        <v>8</v>
      </c>
      <c r="M57" s="474">
        <f si="12" t="shared"/>
        <v>9</v>
      </c>
      <c r="N57" s="474">
        <f si="12" t="shared"/>
        <v>10</v>
      </c>
      <c r="O57" s="474">
        <f si="12" t="shared"/>
        <v>11</v>
      </c>
      <c r="P57" s="474">
        <f si="12" t="shared"/>
        <v>12</v>
      </c>
      <c r="Q57" s="474">
        <f si="12" t="shared"/>
        <v>13</v>
      </c>
      <c r="R57" s="474">
        <f si="12" t="shared"/>
        <v>14</v>
      </c>
      <c r="S57" s="474">
        <f si="12" t="shared"/>
        <v>15</v>
      </c>
      <c r="T57" s="474">
        <f si="12" t="shared"/>
        <v>16</v>
      </c>
      <c r="U57" s="474">
        <f si="12" t="shared"/>
        <v>17</v>
      </c>
      <c r="V57" s="474">
        <f si="12" t="shared"/>
        <v>18</v>
      </c>
      <c r="W57" s="474">
        <f si="12" t="shared"/>
        <v>19</v>
      </c>
      <c r="X57" s="474">
        <f si="12" t="shared"/>
        <v>20</v>
      </c>
      <c r="Y57" s="474">
        <f si="12" t="shared"/>
        <v>21</v>
      </c>
      <c r="AE57" s="207"/>
      <c r="AF57" s="207"/>
      <c r="AG57" s="207"/>
      <c r="AH57" s="207"/>
      <c r="AI57" s="207"/>
      <c r="AJ57" s="207"/>
      <c r="AK57" s="207"/>
    </row>
    <row r="58" spans="1:37" x14ac:dyDescent="0.35">
      <c r="B58" s="207" t="s">
        <v>264</v>
      </c>
      <c r="D58" s="425" t="str">
        <f ca="1">H14</f>
        <v/>
      </c>
      <c r="E58" s="460"/>
      <c r="F58" s="425"/>
      <c r="G58" s="425"/>
      <c r="H58" s="425"/>
      <c r="I58" s="425"/>
      <c r="J58" s="425"/>
      <c r="K58" s="425"/>
      <c r="L58" s="425"/>
      <c r="M58" s="425"/>
      <c r="N58" s="425"/>
      <c r="O58" s="425"/>
      <c r="P58" s="425"/>
      <c r="Q58" s="425"/>
      <c r="R58" s="425"/>
      <c r="S58" s="425"/>
      <c r="T58" s="425"/>
      <c r="U58" s="425"/>
      <c r="V58" s="425"/>
      <c r="W58" s="425"/>
      <c r="X58" s="425"/>
      <c r="AE58" s="207"/>
      <c r="AF58" s="207"/>
      <c r="AG58" s="207"/>
      <c r="AH58" s="207"/>
      <c r="AI58" s="207"/>
      <c r="AJ58" s="207"/>
      <c r="AK58" s="207"/>
    </row>
    <row r="59" spans="1:37" x14ac:dyDescent="0.35">
      <c r="B59" s="207" t="s">
        <v>265</v>
      </c>
      <c r="D59" s="425"/>
      <c r="E59" s="460" t="str">
        <f ca="1" ref="E59:Y59" si="13" t="shared">IF(E27&lt;=$H$13,$H$16,0)</f>
        <v/>
      </c>
      <c r="F59" s="425" t="str">
        <f ca="1" si="13" t="shared"/>
        <v/>
      </c>
      <c r="G59" s="425" t="str">
        <f ca="1" si="13" t="shared"/>
        <v/>
      </c>
      <c r="H59" s="425" t="str">
        <f ca="1" si="13" t="shared"/>
        <v/>
      </c>
      <c r="I59" s="425" t="str">
        <f ca="1" si="13" t="shared"/>
        <v/>
      </c>
      <c r="J59" s="425" t="str">
        <f ca="1" si="13" t="shared"/>
        <v/>
      </c>
      <c r="K59" s="425" t="str">
        <f ca="1" si="13" t="shared"/>
        <v/>
      </c>
      <c r="L59" s="425" t="str">
        <f ca="1" si="13" t="shared"/>
        <v/>
      </c>
      <c r="M59" s="425" t="str">
        <f ca="1" si="13" t="shared"/>
        <v/>
      </c>
      <c r="N59" s="425" t="str">
        <f ca="1" si="13" t="shared"/>
        <v/>
      </c>
      <c r="O59" s="425">
        <f si="13" t="shared"/>
        <v>0</v>
      </c>
      <c r="P59" s="425">
        <f si="13" t="shared"/>
        <v>0</v>
      </c>
      <c r="Q59" s="425">
        <f si="13" t="shared"/>
        <v>0</v>
      </c>
      <c r="R59" s="425">
        <f si="13" t="shared"/>
        <v>0</v>
      </c>
      <c r="S59" s="425">
        <f si="13" t="shared"/>
        <v>0</v>
      </c>
      <c r="T59" s="425">
        <f si="13" t="shared"/>
        <v>0</v>
      </c>
      <c r="U59" s="425">
        <f si="13" t="shared"/>
        <v>0</v>
      </c>
      <c r="V59" s="425">
        <f si="13" t="shared"/>
        <v>0</v>
      </c>
      <c r="W59" s="425">
        <f si="13" t="shared"/>
        <v>0</v>
      </c>
      <c r="X59" s="425">
        <f si="13" t="shared"/>
        <v>0</v>
      </c>
      <c r="Y59" s="425">
        <f si="13" t="shared"/>
        <v>0</v>
      </c>
      <c r="AE59" s="207"/>
      <c r="AF59" s="207"/>
      <c r="AG59" s="207"/>
      <c r="AH59" s="207"/>
      <c r="AI59" s="207"/>
      <c r="AJ59" s="207"/>
      <c r="AK59" s="207"/>
    </row>
    <row r="60" spans="1:37" x14ac:dyDescent="0.35">
      <c r="B60" s="207" t="s">
        <v>292</v>
      </c>
      <c r="D60" s="425"/>
      <c r="E60" s="460">
        <f ref="E60:Y60" si="14" t="shared">IF(E$27=$H$13,$H$17,0)</f>
        <v>0</v>
      </c>
      <c r="F60" s="425">
        <f si="14" t="shared"/>
        <v>0</v>
      </c>
      <c r="G60" s="425">
        <f si="14" t="shared"/>
        <v>0</v>
      </c>
      <c r="H60" s="425">
        <f si="14" t="shared"/>
        <v>0</v>
      </c>
      <c r="I60" s="425">
        <f si="14" t="shared"/>
        <v>0</v>
      </c>
      <c r="J60" s="425">
        <f si="14" t="shared"/>
        <v>0</v>
      </c>
      <c r="K60" s="425">
        <f si="14" t="shared"/>
        <v>0</v>
      </c>
      <c r="L60" s="425">
        <f si="14" t="shared"/>
        <v>0</v>
      </c>
      <c r="M60" s="425">
        <f si="14" t="shared"/>
        <v>0</v>
      </c>
      <c r="N60" s="425" t="str">
        <f ca="1" si="14" t="shared"/>
        <v/>
      </c>
      <c r="O60" s="425">
        <f si="14" t="shared"/>
        <v>0</v>
      </c>
      <c r="P60" s="425">
        <f si="14" t="shared"/>
        <v>0</v>
      </c>
      <c r="Q60" s="425">
        <f si="14" t="shared"/>
        <v>0</v>
      </c>
      <c r="R60" s="425">
        <f si="14" t="shared"/>
        <v>0</v>
      </c>
      <c r="S60" s="425">
        <f si="14" t="shared"/>
        <v>0</v>
      </c>
      <c r="T60" s="425">
        <f si="14" t="shared"/>
        <v>0</v>
      </c>
      <c r="U60" s="425">
        <f si="14" t="shared"/>
        <v>0</v>
      </c>
      <c r="V60" s="425">
        <f si="14" t="shared"/>
        <v>0</v>
      </c>
      <c r="W60" s="425">
        <f si="14" t="shared"/>
        <v>0</v>
      </c>
      <c r="X60" s="425">
        <f si="14" t="shared"/>
        <v>0</v>
      </c>
      <c r="Y60" s="207">
        <f si="14" t="shared"/>
        <v>0</v>
      </c>
      <c r="AE60" s="207"/>
      <c r="AF60" s="207"/>
      <c r="AG60" s="207"/>
      <c r="AH60" s="207"/>
      <c r="AI60" s="207"/>
      <c r="AJ60" s="207"/>
      <c r="AK60" s="207"/>
    </row>
    <row r="61" spans="1:37" x14ac:dyDescent="0.35">
      <c r="B61" s="472" t="s">
        <v>293</v>
      </c>
      <c r="C61" s="472"/>
      <c r="D61" s="476" t="str">
        <f ca="1">IFERROR(IF(SUM(D58:D60)=0,"",SUM(D58:D60)),"")</f>
        <v/>
      </c>
      <c r="E61" s="477">
        <f ca="1" ref="E61:Y61" si="15" t="shared">IFERROR(SUM(E58:E60),"")</f>
        <v>0</v>
      </c>
      <c r="F61" s="476">
        <f ca="1" si="15" t="shared"/>
        <v>0</v>
      </c>
      <c r="G61" s="476">
        <f ca="1" si="15" t="shared"/>
        <v>0</v>
      </c>
      <c r="H61" s="476">
        <f ca="1" si="15" t="shared"/>
        <v>0</v>
      </c>
      <c r="I61" s="476">
        <f ca="1" si="15" t="shared"/>
        <v>0</v>
      </c>
      <c r="J61" s="476">
        <f ca="1" si="15" t="shared"/>
        <v>0</v>
      </c>
      <c r="K61" s="476">
        <f ca="1" si="15" t="shared"/>
        <v>0</v>
      </c>
      <c r="L61" s="476">
        <f ca="1" si="15" t="shared"/>
        <v>0</v>
      </c>
      <c r="M61" s="476">
        <f ca="1" si="15" t="shared"/>
        <v>0</v>
      </c>
      <c r="N61" s="476">
        <f ca="1" si="15" t="shared"/>
        <v>0</v>
      </c>
      <c r="O61" s="476">
        <f si="15" t="shared"/>
        <v>0</v>
      </c>
      <c r="P61" s="476">
        <f si="15" t="shared"/>
        <v>0</v>
      </c>
      <c r="Q61" s="476">
        <f si="15" t="shared"/>
        <v>0</v>
      </c>
      <c r="R61" s="476">
        <f si="15" t="shared"/>
        <v>0</v>
      </c>
      <c r="S61" s="476">
        <f si="15" t="shared"/>
        <v>0</v>
      </c>
      <c r="T61" s="476">
        <f si="15" t="shared"/>
        <v>0</v>
      </c>
      <c r="U61" s="476">
        <f si="15" t="shared"/>
        <v>0</v>
      </c>
      <c r="V61" s="476">
        <f si="15" t="shared"/>
        <v>0</v>
      </c>
      <c r="W61" s="476">
        <f si="15" t="shared"/>
        <v>0</v>
      </c>
      <c r="X61" s="476">
        <f si="15" t="shared"/>
        <v>0</v>
      </c>
      <c r="Y61" s="476">
        <f si="15" t="shared"/>
        <v>0</v>
      </c>
      <c r="AE61" s="207"/>
      <c r="AF61" s="207"/>
      <c r="AG61" s="207"/>
      <c r="AH61" s="207"/>
      <c r="AI61" s="207"/>
      <c r="AJ61" s="207"/>
      <c r="AK61" s="207"/>
    </row>
    <row r="62" spans="1:37" x14ac:dyDescent="0.35">
      <c r="E62" s="425"/>
      <c r="AE62" s="207"/>
      <c r="AF62" s="207"/>
      <c r="AG62" s="207"/>
      <c r="AH62" s="207"/>
      <c r="AI62" s="207"/>
      <c r="AJ62" s="207"/>
      <c r="AK62" s="207"/>
    </row>
    <row r="63" spans="1:37" x14ac:dyDescent="0.35">
      <c r="B63" s="472" t="s">
        <v>290</v>
      </c>
      <c r="C63" s="473"/>
      <c r="D63" s="474">
        <v>0</v>
      </c>
      <c r="E63" s="475">
        <f ref="E63:Y63" si="16" t="shared">D63+1</f>
        <v>1</v>
      </c>
      <c r="F63" s="474">
        <f si="16" t="shared"/>
        <v>2</v>
      </c>
      <c r="G63" s="474">
        <f si="16" t="shared"/>
        <v>3</v>
      </c>
      <c r="H63" s="474">
        <f si="16" t="shared"/>
        <v>4</v>
      </c>
      <c r="I63" s="474">
        <f si="16" t="shared"/>
        <v>5</v>
      </c>
      <c r="J63" s="474">
        <f si="16" t="shared"/>
        <v>6</v>
      </c>
      <c r="K63" s="474">
        <f si="16" t="shared"/>
        <v>7</v>
      </c>
      <c r="L63" s="474">
        <f si="16" t="shared"/>
        <v>8</v>
      </c>
      <c r="M63" s="474">
        <f si="16" t="shared"/>
        <v>9</v>
      </c>
      <c r="N63" s="474">
        <f si="16" t="shared"/>
        <v>10</v>
      </c>
      <c r="O63" s="474">
        <f si="16" t="shared"/>
        <v>11</v>
      </c>
      <c r="P63" s="474">
        <f si="16" t="shared"/>
        <v>12</v>
      </c>
      <c r="Q63" s="474">
        <f si="16" t="shared"/>
        <v>13</v>
      </c>
      <c r="R63" s="474">
        <f si="16" t="shared"/>
        <v>14</v>
      </c>
      <c r="S63" s="474">
        <f si="16" t="shared"/>
        <v>15</v>
      </c>
      <c r="T63" s="474">
        <f si="16" t="shared"/>
        <v>16</v>
      </c>
      <c r="U63" s="474">
        <f si="16" t="shared"/>
        <v>17</v>
      </c>
      <c r="V63" s="474">
        <f si="16" t="shared"/>
        <v>18</v>
      </c>
      <c r="W63" s="474">
        <f si="16" t="shared"/>
        <v>19</v>
      </c>
      <c r="X63" s="474">
        <f si="16" t="shared"/>
        <v>20</v>
      </c>
      <c r="Y63" s="474">
        <f si="16" t="shared"/>
        <v>21</v>
      </c>
      <c r="AE63" s="207"/>
      <c r="AF63" s="207"/>
      <c r="AG63" s="207"/>
      <c r="AH63" s="207"/>
      <c r="AI63" s="207"/>
      <c r="AJ63" s="207"/>
      <c r="AK63" s="207"/>
    </row>
    <row r="64" spans="1:37" x14ac:dyDescent="0.35">
      <c r="B64" s="207" t="s">
        <v>278</v>
      </c>
      <c r="D64" s="425" t="str">
        <f ca="1">IFERROR(-D6,"")</f>
        <v/>
      </c>
      <c r="E64" s="460"/>
      <c r="F64" s="425"/>
      <c r="G64" s="425"/>
      <c r="H64" s="425"/>
      <c r="I64" s="425"/>
      <c r="J64" s="425"/>
      <c r="K64" s="425"/>
      <c r="L64" s="425"/>
      <c r="M64" s="425"/>
      <c r="N64" s="425"/>
      <c r="O64" s="425"/>
      <c r="P64" s="425"/>
      <c r="Q64" s="425"/>
      <c r="R64" s="425"/>
      <c r="S64" s="425"/>
      <c r="T64" s="425"/>
      <c r="U64" s="425"/>
      <c r="V64" s="425"/>
      <c r="W64" s="425"/>
      <c r="X64" s="425"/>
      <c r="AE64" s="207"/>
      <c r="AF64" s="207"/>
      <c r="AG64" s="207"/>
      <c r="AH64" s="207"/>
      <c r="AI64" s="207"/>
      <c r="AJ64" s="207"/>
      <c r="AK64" s="207"/>
    </row>
    <row r="65" spans="1:37" x14ac:dyDescent="0.35">
      <c r="B65" s="461" t="s">
        <v>344</v>
      </c>
      <c r="D65" s="425" t="str">
        <f ca="1">IFERROR(-D15*D6,"")</f>
        <v/>
      </c>
      <c r="E65" s="460"/>
      <c r="F65" s="425"/>
      <c r="G65" s="425"/>
      <c r="H65" s="425"/>
      <c r="I65" s="425"/>
      <c r="J65" s="425"/>
      <c r="K65" s="425"/>
      <c r="L65" s="425"/>
      <c r="M65" s="425"/>
      <c r="N65" s="425"/>
      <c r="O65" s="425"/>
      <c r="P65" s="425"/>
      <c r="Q65" s="425"/>
      <c r="R65" s="425"/>
      <c r="S65" s="425"/>
      <c r="T65" s="425"/>
      <c r="U65" s="425"/>
      <c r="V65" s="425"/>
      <c r="W65" s="425"/>
      <c r="X65" s="425"/>
      <c r="AE65" s="207"/>
      <c r="AF65" s="207"/>
      <c r="AG65" s="207"/>
      <c r="AH65" s="207"/>
      <c r="AI65" s="207"/>
      <c r="AJ65" s="207"/>
      <c r="AK65" s="207"/>
    </row>
    <row r="66" spans="1:37" x14ac:dyDescent="0.35">
      <c r="B66" s="207" t="s">
        <v>282</v>
      </c>
      <c r="D66" s="425"/>
      <c r="E66" s="460" t="str">
        <f ca="1" ref="E66:Y66" si="17" t="shared">IFERROR(IF(E27&lt;=$D$10,E35,0),"")</f>
        <v/>
      </c>
      <c r="F66" s="425" t="str">
        <f ca="1" si="17" t="shared"/>
        <v/>
      </c>
      <c r="G66" s="425" t="str">
        <f ca="1" si="17" t="shared"/>
        <v/>
      </c>
      <c r="H66" s="425" t="str">
        <f ca="1" si="17" t="shared"/>
        <v/>
      </c>
      <c r="I66" s="425" t="str">
        <f ca="1" si="17" t="shared"/>
        <v/>
      </c>
      <c r="J66" s="425" t="str">
        <f ca="1" si="17" t="shared"/>
        <v/>
      </c>
      <c r="K66" s="425" t="str">
        <f ca="1" si="17" t="shared"/>
        <v/>
      </c>
      <c r="L66" s="425" t="str">
        <f ca="1" si="17" t="shared"/>
        <v/>
      </c>
      <c r="M66" s="425" t="str">
        <f ca="1" si="17" t="shared"/>
        <v/>
      </c>
      <c r="N66" s="425" t="str">
        <f ca="1" si="17" t="shared"/>
        <v/>
      </c>
      <c r="O66" s="425">
        <f si="17" t="shared"/>
        <v>0</v>
      </c>
      <c r="P66" s="425">
        <f si="17" t="shared"/>
        <v>0</v>
      </c>
      <c r="Q66" s="425">
        <f si="17" t="shared"/>
        <v>0</v>
      </c>
      <c r="R66" s="425">
        <f si="17" t="shared"/>
        <v>0</v>
      </c>
      <c r="S66" s="425">
        <f si="17" t="shared"/>
        <v>0</v>
      </c>
      <c r="T66" s="425">
        <f si="17" t="shared"/>
        <v>0</v>
      </c>
      <c r="U66" s="425">
        <f si="17" t="shared"/>
        <v>0</v>
      </c>
      <c r="V66" s="425">
        <f si="17" t="shared"/>
        <v>0</v>
      </c>
      <c r="W66" s="425">
        <f si="17" t="shared"/>
        <v>0</v>
      </c>
      <c r="X66" s="425">
        <f si="17" t="shared"/>
        <v>0</v>
      </c>
      <c r="Y66" s="425">
        <f si="17" t="shared"/>
        <v>0</v>
      </c>
      <c r="AE66" s="207"/>
      <c r="AF66" s="207"/>
      <c r="AG66" s="207"/>
      <c r="AH66" s="207"/>
      <c r="AI66" s="207"/>
      <c r="AJ66" s="207"/>
      <c r="AK66" s="207"/>
    </row>
    <row r="67" spans="1:37" x14ac:dyDescent="0.35">
      <c r="B67" s="207" t="s">
        <v>291</v>
      </c>
      <c r="D67" s="425" t="str">
        <f ca="1">D61</f>
        <v/>
      </c>
      <c r="E67" s="460">
        <f ca="1" ref="E67:Y67" si="18" t="shared">IFERROR(E61,"")</f>
        <v>0</v>
      </c>
      <c r="F67" s="425">
        <f ca="1" si="18" t="shared"/>
        <v>0</v>
      </c>
      <c r="G67" s="425">
        <f ca="1" si="18" t="shared"/>
        <v>0</v>
      </c>
      <c r="H67" s="425">
        <f ca="1" si="18" t="shared"/>
        <v>0</v>
      </c>
      <c r="I67" s="425">
        <f ca="1" si="18" t="shared"/>
        <v>0</v>
      </c>
      <c r="J67" s="425">
        <f ca="1" si="18" t="shared"/>
        <v>0</v>
      </c>
      <c r="K67" s="425">
        <f ca="1" si="18" t="shared"/>
        <v>0</v>
      </c>
      <c r="L67" s="425">
        <f ca="1" si="18" t="shared"/>
        <v>0</v>
      </c>
      <c r="M67" s="425">
        <f ca="1" si="18" t="shared"/>
        <v>0</v>
      </c>
      <c r="N67" s="425">
        <f ca="1" si="18" t="shared"/>
        <v>0</v>
      </c>
      <c r="O67" s="425">
        <f si="18" t="shared"/>
        <v>0</v>
      </c>
      <c r="P67" s="425">
        <f si="18" t="shared"/>
        <v>0</v>
      </c>
      <c r="Q67" s="425">
        <f si="18" t="shared"/>
        <v>0</v>
      </c>
      <c r="R67" s="425">
        <f si="18" t="shared"/>
        <v>0</v>
      </c>
      <c r="S67" s="425">
        <f si="18" t="shared"/>
        <v>0</v>
      </c>
      <c r="T67" s="425">
        <f si="18" t="shared"/>
        <v>0</v>
      </c>
      <c r="U67" s="425">
        <f si="18" t="shared"/>
        <v>0</v>
      </c>
      <c r="V67" s="425">
        <f si="18" t="shared"/>
        <v>0</v>
      </c>
      <c r="W67" s="425">
        <f si="18" t="shared"/>
        <v>0</v>
      </c>
      <c r="X67" s="425">
        <f si="18" t="shared"/>
        <v>0</v>
      </c>
      <c r="Y67" s="425">
        <f si="18" t="shared"/>
        <v>0</v>
      </c>
      <c r="AE67" s="207"/>
      <c r="AF67" s="207"/>
      <c r="AG67" s="207"/>
      <c r="AH67" s="207"/>
      <c r="AI67" s="207"/>
      <c r="AJ67" s="207"/>
      <c r="AK67" s="207"/>
    </row>
    <row r="68" spans="1:37" x14ac:dyDescent="0.35">
      <c r="B68" s="207" t="s">
        <v>283</v>
      </c>
      <c r="D68" s="425"/>
      <c r="E68" s="460">
        <f ref="E68:Y68" si="19" t="shared">IFERROR(IF(E27=$D$10,F35/$D$14,0),"")</f>
        <v>0</v>
      </c>
      <c r="F68" s="425">
        <f si="19" t="shared"/>
        <v>0</v>
      </c>
      <c r="G68" s="425">
        <f si="19" t="shared"/>
        <v>0</v>
      </c>
      <c r="H68" s="425">
        <f si="19" t="shared"/>
        <v>0</v>
      </c>
      <c r="I68" s="425">
        <f si="19" t="shared"/>
        <v>0</v>
      </c>
      <c r="J68" s="425">
        <f si="19" t="shared"/>
        <v>0</v>
      </c>
      <c r="K68" s="425">
        <f si="19" t="shared"/>
        <v>0</v>
      </c>
      <c r="L68" s="425">
        <f si="19" t="shared"/>
        <v>0</v>
      </c>
      <c r="M68" s="425">
        <f si="19" t="shared"/>
        <v>0</v>
      </c>
      <c r="N68" s="425" t="str">
        <f ca="1" si="19" t="shared"/>
        <v/>
      </c>
      <c r="O68" s="425">
        <f si="19" t="shared"/>
        <v>0</v>
      </c>
      <c r="P68" s="425">
        <f si="19" t="shared"/>
        <v>0</v>
      </c>
      <c r="Q68" s="425">
        <f si="19" t="shared"/>
        <v>0</v>
      </c>
      <c r="R68" s="425">
        <f si="19" t="shared"/>
        <v>0</v>
      </c>
      <c r="S68" s="425">
        <f si="19" t="shared"/>
        <v>0</v>
      </c>
      <c r="T68" s="425">
        <f si="19" t="shared"/>
        <v>0</v>
      </c>
      <c r="U68" s="425">
        <f si="19" t="shared"/>
        <v>0</v>
      </c>
      <c r="V68" s="425">
        <f si="19" t="shared"/>
        <v>0</v>
      </c>
      <c r="W68" s="425">
        <f si="19" t="shared"/>
        <v>0</v>
      </c>
      <c r="X68" s="425">
        <f si="19" t="shared"/>
        <v>0</v>
      </c>
      <c r="Y68" s="425">
        <f si="19" t="shared"/>
        <v>0</v>
      </c>
      <c r="AE68" s="207"/>
      <c r="AF68" s="207"/>
      <c r="AG68" s="207"/>
      <c r="AH68" s="207"/>
      <c r="AI68" s="207"/>
      <c r="AJ68" s="207"/>
      <c r="AK68" s="207"/>
    </row>
    <row r="69" spans="1:37" x14ac:dyDescent="0.35">
      <c r="B69" s="461" t="s">
        <v>345</v>
      </c>
      <c r="D69" s="425"/>
      <c r="E69" s="460">
        <f>IFERROR(-E68*$D$16,"")</f>
        <v>0</v>
      </c>
      <c r="F69" s="425">
        <f ref="F69:Y69" si="20" t="shared">IFERROR(-F68*$D$16,"")</f>
        <v>0</v>
      </c>
      <c r="G69" s="425">
        <f si="20" t="shared"/>
        <v>0</v>
      </c>
      <c r="H69" s="425">
        <f si="20" t="shared"/>
        <v>0</v>
      </c>
      <c r="I69" s="425">
        <f si="20" t="shared"/>
        <v>0</v>
      </c>
      <c r="J69" s="425">
        <f si="20" t="shared"/>
        <v>0</v>
      </c>
      <c r="K69" s="425">
        <f si="20" t="shared"/>
        <v>0</v>
      </c>
      <c r="L69" s="425">
        <f si="20" t="shared"/>
        <v>0</v>
      </c>
      <c r="M69" s="425">
        <f si="20" t="shared"/>
        <v>0</v>
      </c>
      <c r="N69" s="425" t="str">
        <f ca="1" si="20" t="shared"/>
        <v/>
      </c>
      <c r="O69" s="425">
        <f si="20" t="shared"/>
        <v>0</v>
      </c>
      <c r="P69" s="425">
        <f si="20" t="shared"/>
        <v>0</v>
      </c>
      <c r="Q69" s="425">
        <f si="20" t="shared"/>
        <v>0</v>
      </c>
      <c r="R69" s="425">
        <f si="20" t="shared"/>
        <v>0</v>
      </c>
      <c r="S69" s="425">
        <f si="20" t="shared"/>
        <v>0</v>
      </c>
      <c r="T69" s="425">
        <f si="20" t="shared"/>
        <v>0</v>
      </c>
      <c r="U69" s="425">
        <f si="20" t="shared"/>
        <v>0</v>
      </c>
      <c r="V69" s="425">
        <f si="20" t="shared"/>
        <v>0</v>
      </c>
      <c r="W69" s="425">
        <f si="20" t="shared"/>
        <v>0</v>
      </c>
      <c r="X69" s="425">
        <f si="20" t="shared"/>
        <v>0</v>
      </c>
      <c r="Y69" s="425">
        <f si="20" t="shared"/>
        <v>0</v>
      </c>
      <c r="AE69" s="207"/>
      <c r="AF69" s="207"/>
      <c r="AG69" s="207"/>
      <c r="AH69" s="207"/>
      <c r="AI69" s="207"/>
      <c r="AJ69" s="207"/>
      <c r="AK69" s="207"/>
    </row>
    <row r="70" spans="1:37" x14ac:dyDescent="0.35">
      <c r="B70" s="472" t="s">
        <v>284</v>
      </c>
      <c r="C70" s="472"/>
      <c r="D70" s="476" t="str">
        <f ca="1">IF(SUM(D64:D69)=0,"",SUM(D64:D69))</f>
        <v/>
      </c>
      <c r="E70" s="477">
        <f ca="1" ref="E70:Y70" si="21" t="shared">SUM(E64:E69)</f>
        <v>0</v>
      </c>
      <c r="F70" s="476">
        <f ca="1" si="21" t="shared"/>
        <v>0</v>
      </c>
      <c r="G70" s="476">
        <f ca="1" si="21" t="shared"/>
        <v>0</v>
      </c>
      <c r="H70" s="476">
        <f ca="1" si="21" t="shared"/>
        <v>0</v>
      </c>
      <c r="I70" s="476">
        <f ca="1" si="21" t="shared"/>
        <v>0</v>
      </c>
      <c r="J70" s="476">
        <f ca="1" si="21" t="shared"/>
        <v>0</v>
      </c>
      <c r="K70" s="476">
        <f ca="1" si="21" t="shared"/>
        <v>0</v>
      </c>
      <c r="L70" s="476">
        <f ca="1" si="21" t="shared"/>
        <v>0</v>
      </c>
      <c r="M70" s="476">
        <f ca="1" si="21" t="shared"/>
        <v>0</v>
      </c>
      <c r="N70" s="476">
        <f ca="1" si="21" t="shared"/>
        <v>0</v>
      </c>
      <c r="O70" s="476">
        <f si="21" t="shared"/>
        <v>0</v>
      </c>
      <c r="P70" s="476">
        <f si="21" t="shared"/>
        <v>0</v>
      </c>
      <c r="Q70" s="476">
        <f si="21" t="shared"/>
        <v>0</v>
      </c>
      <c r="R70" s="476">
        <f si="21" t="shared"/>
        <v>0</v>
      </c>
      <c r="S70" s="476">
        <f si="21" t="shared"/>
        <v>0</v>
      </c>
      <c r="T70" s="476">
        <f si="21" t="shared"/>
        <v>0</v>
      </c>
      <c r="U70" s="476">
        <f si="21" t="shared"/>
        <v>0</v>
      </c>
      <c r="V70" s="476">
        <f si="21" t="shared"/>
        <v>0</v>
      </c>
      <c r="W70" s="476">
        <f si="21" t="shared"/>
        <v>0</v>
      </c>
      <c r="X70" s="476">
        <f si="21" t="shared"/>
        <v>0</v>
      </c>
      <c r="Y70" s="476">
        <f si="21" t="shared"/>
        <v>0</v>
      </c>
      <c r="AE70" s="207"/>
      <c r="AF70" s="207"/>
      <c r="AG70" s="207"/>
      <c r="AH70" s="207"/>
      <c r="AI70" s="207"/>
      <c r="AJ70" s="207"/>
      <c r="AK70" s="207"/>
    </row>
    <row r="71" spans="1:37" x14ac:dyDescent="0.35">
      <c r="AE71" s="207"/>
      <c r="AF71" s="207"/>
      <c r="AG71" s="207"/>
      <c r="AH71" s="207"/>
      <c r="AI71" s="207"/>
      <c r="AJ71" s="207"/>
      <c r="AK71" s="207"/>
    </row>
    <row r="72" spans="1:37" x14ac:dyDescent="0.35">
      <c r="B72" s="478" t="s">
        <v>294</v>
      </c>
      <c r="C72" s="479"/>
      <c r="AE72" s="207"/>
      <c r="AF72" s="207"/>
      <c r="AG72" s="207"/>
      <c r="AH72" s="207"/>
      <c r="AI72" s="207"/>
      <c r="AJ72" s="207"/>
      <c r="AK72" s="207"/>
    </row>
    <row r="73" spans="1:37" x14ac:dyDescent="0.35">
      <c r="B73" s="466" t="s">
        <v>286</v>
      </c>
      <c r="C73" s="467" t="str">
        <f ca="1">IFERROR(IF(-D70=0,"",-D70),"")</f>
        <v/>
      </c>
      <c r="AE73" s="207"/>
      <c r="AF73" s="207"/>
      <c r="AG73" s="207"/>
      <c r="AH73" s="207"/>
      <c r="AI73" s="207"/>
      <c r="AJ73" s="207"/>
      <c r="AK73" s="207"/>
    </row>
    <row r="74" spans="1:37" x14ac:dyDescent="0.35">
      <c r="B74" s="466" t="s">
        <v>363</v>
      </c>
      <c r="C74" s="467" t="str">
        <f ca="1">IFERROR(IF(SUM(E70:Y70)=0,"",SUM(E70:Y70)),"")</f>
        <v/>
      </c>
      <c r="AE74" s="207"/>
      <c r="AF74" s="207"/>
      <c r="AG74" s="207"/>
      <c r="AH74" s="207"/>
      <c r="AI74" s="207"/>
      <c r="AJ74" s="207"/>
      <c r="AK74" s="207"/>
    </row>
    <row r="75" spans="1:37" x14ac:dyDescent="0.35">
      <c r="B75" s="466" t="s">
        <v>287</v>
      </c>
      <c r="C75" s="467" t="str">
        <f ca="1">IFERROR(IF(SUM(E70:Y70)+D70=0,"",SUM(E70:Y70)+D70),"")</f>
        <v/>
      </c>
      <c r="AE75" s="207"/>
      <c r="AF75" s="207"/>
      <c r="AG75" s="207"/>
      <c r="AH75" s="207"/>
      <c r="AI75" s="207"/>
      <c r="AJ75" s="207"/>
      <c r="AK75" s="207"/>
    </row>
    <row r="76" spans="1:37" x14ac:dyDescent="0.35">
      <c r="B76" s="466" t="s">
        <v>288</v>
      </c>
      <c r="C76" s="468" t="str">
        <f ca="1">IFERROR(-SUM(E70:Y70)/D70,"")</f>
        <v/>
      </c>
      <c r="AE76" s="207"/>
      <c r="AF76" s="207"/>
      <c r="AG76" s="207"/>
      <c r="AH76" s="207"/>
      <c r="AI76" s="207"/>
      <c r="AJ76" s="207"/>
      <c r="AK76" s="207"/>
    </row>
    <row r="77" spans="1:37" x14ac:dyDescent="0.35">
      <c r="B77" s="466" t="s">
        <v>274</v>
      </c>
      <c r="C77" s="469" t="str">
        <f ca="1">IFERROR(IRR(D70:Y70),"")</f>
        <v/>
      </c>
      <c r="AE77" s="207"/>
      <c r="AF77" s="207"/>
      <c r="AG77" s="207"/>
      <c r="AH77" s="207"/>
      <c r="AI77" s="207"/>
      <c r="AJ77" s="207"/>
      <c r="AK77" s="207"/>
    </row>
    <row r="78" spans="1:37" x14ac:dyDescent="0.35">
      <c r="B78" s="470" t="s">
        <v>289</v>
      </c>
      <c r="C78" s="471" t="str">
        <f ca="1">IFERROR(-E70/D70,"")</f>
        <v/>
      </c>
      <c r="AE78" s="207"/>
      <c r="AF78" s="207"/>
      <c r="AG78" s="207"/>
      <c r="AH78" s="207"/>
      <c r="AI78" s="207"/>
      <c r="AJ78" s="207"/>
      <c r="AK78" s="207"/>
    </row>
    <row ht="15" r="79" spans="1:37" thickBot="1" x14ac:dyDescent="0.4">
      <c r="A79" s="439"/>
      <c r="B79" s="439"/>
      <c r="C79" s="439"/>
      <c r="D79" s="439"/>
      <c r="E79" s="439"/>
      <c r="F79" s="439"/>
      <c r="G79" s="439"/>
      <c r="H79" s="439"/>
      <c r="I79" s="439"/>
      <c r="J79" s="439"/>
      <c r="K79" s="439"/>
      <c r="L79" s="439"/>
      <c r="M79" s="439"/>
      <c r="N79" s="439"/>
      <c r="O79" s="439"/>
      <c r="P79" s="439"/>
      <c r="Q79" s="439"/>
      <c r="R79" s="439"/>
      <c r="S79" s="439"/>
      <c r="T79" s="439"/>
      <c r="U79" s="439"/>
      <c r="V79" s="439"/>
      <c r="W79" s="439"/>
      <c r="X79" s="439"/>
      <c r="Y79" s="439"/>
      <c r="Z79" s="439"/>
      <c r="AA79" s="439"/>
      <c r="AB79" s="439"/>
      <c r="AC79" s="439"/>
      <c r="AD79" s="439"/>
      <c r="AE79" s="439"/>
      <c r="AF79" s="439"/>
      <c r="AG79" s="439"/>
      <c r="AH79" s="439"/>
      <c r="AI79" s="439"/>
      <c r="AJ79" s="439"/>
      <c r="AK79" s="439"/>
    </row>
    <row r="80" spans="1:37" x14ac:dyDescent="0.35">
      <c r="AE80" s="207"/>
      <c r="AF80" s="207"/>
      <c r="AG80" s="207"/>
      <c r="AH80" s="207"/>
      <c r="AI80" s="207"/>
      <c r="AJ80" s="207"/>
      <c r="AK80" s="207"/>
    </row>
    <row ht="18.5" r="81" spans="2:37" x14ac:dyDescent="0.35">
      <c r="B81" s="4" t="s">
        <v>295</v>
      </c>
      <c r="AE81" s="207"/>
      <c r="AF81" s="207"/>
      <c r="AG81" s="207"/>
      <c r="AH81" s="207"/>
      <c r="AI81" s="207"/>
      <c r="AJ81" s="207"/>
      <c r="AK81" s="207"/>
    </row>
    <row r="82" spans="2:37" x14ac:dyDescent="0.35">
      <c r="B82" s="11" t="s">
        <v>296</v>
      </c>
      <c r="C82" s="480"/>
      <c r="D82" s="481">
        <v>0</v>
      </c>
      <c r="E82" s="482">
        <f ref="E82:Y82" si="22" t="shared">D82+1</f>
        <v>1</v>
      </c>
      <c r="F82" s="481">
        <f si="22" t="shared"/>
        <v>2</v>
      </c>
      <c r="G82" s="481">
        <f si="22" t="shared"/>
        <v>3</v>
      </c>
      <c r="H82" s="481">
        <f si="22" t="shared"/>
        <v>4</v>
      </c>
      <c r="I82" s="481">
        <f si="22" t="shared"/>
        <v>5</v>
      </c>
      <c r="J82" s="481">
        <f si="22" t="shared"/>
        <v>6</v>
      </c>
      <c r="K82" s="481">
        <f si="22" t="shared"/>
        <v>7</v>
      </c>
      <c r="L82" s="481">
        <f si="22" t="shared"/>
        <v>8</v>
      </c>
      <c r="M82" s="481">
        <f si="22" t="shared"/>
        <v>9</v>
      </c>
      <c r="N82" s="481">
        <f si="22" t="shared"/>
        <v>10</v>
      </c>
      <c r="O82" s="481">
        <f si="22" t="shared"/>
        <v>11</v>
      </c>
      <c r="P82" s="481">
        <f si="22" t="shared"/>
        <v>12</v>
      </c>
      <c r="Q82" s="481">
        <f si="22" t="shared"/>
        <v>13</v>
      </c>
      <c r="R82" s="481">
        <f si="22" t="shared"/>
        <v>14</v>
      </c>
      <c r="S82" s="481">
        <f si="22" t="shared"/>
        <v>15</v>
      </c>
      <c r="T82" s="481">
        <f si="22" t="shared"/>
        <v>16</v>
      </c>
      <c r="U82" s="481">
        <f si="22" t="shared"/>
        <v>17</v>
      </c>
      <c r="V82" s="481">
        <f si="22" t="shared"/>
        <v>18</v>
      </c>
      <c r="W82" s="481">
        <f si="22" t="shared"/>
        <v>19</v>
      </c>
      <c r="X82" s="481">
        <f si="22" t="shared"/>
        <v>20</v>
      </c>
      <c r="Y82" s="481">
        <f si="22" t="shared"/>
        <v>21</v>
      </c>
      <c r="AE82" s="207"/>
      <c r="AF82" s="207"/>
      <c r="AG82" s="207"/>
      <c r="AH82" s="207"/>
      <c r="AI82" s="207"/>
      <c r="AJ82" s="207"/>
      <c r="AK82" s="207"/>
    </row>
    <row r="83" spans="2:37" x14ac:dyDescent="0.35">
      <c r="B83" s="12" t="s">
        <v>297</v>
      </c>
      <c r="C83" s="435"/>
      <c r="D83" s="435"/>
      <c r="E83" s="483" t="str">
        <f ca="1">IFERROR(IF(E$27&lt;=$D$10,-D70,""),"")</f>
        <v/>
      </c>
      <c r="F83" s="436">
        <f ca="1" ref="F83:X83" si="23" t="shared">IFERROR(IF(F$27&lt;=$D$10,E87,0),"")</f>
        <v>0</v>
      </c>
      <c r="G83" s="436">
        <f ca="1" si="23" t="shared"/>
        <v>0</v>
      </c>
      <c r="H83" s="436">
        <f ca="1" si="23" t="shared"/>
        <v>0</v>
      </c>
      <c r="I83" s="436">
        <f ca="1" si="23" t="shared"/>
        <v>0</v>
      </c>
      <c r="J83" s="436">
        <f ca="1" si="23" t="shared"/>
        <v>0</v>
      </c>
      <c r="K83" s="436">
        <f ca="1" si="23" t="shared"/>
        <v>0</v>
      </c>
      <c r="L83" s="436">
        <f ca="1" si="23" t="shared"/>
        <v>0</v>
      </c>
      <c r="M83" s="436">
        <f ca="1" si="23" t="shared"/>
        <v>0</v>
      </c>
      <c r="N83" s="436">
        <f ca="1" si="23" t="shared"/>
        <v>0</v>
      </c>
      <c r="O83" s="436">
        <f si="23" t="shared"/>
        <v>0</v>
      </c>
      <c r="P83" s="436">
        <f si="23" t="shared"/>
        <v>0</v>
      </c>
      <c r="Q83" s="436">
        <f si="23" t="shared"/>
        <v>0</v>
      </c>
      <c r="R83" s="436">
        <f si="23" t="shared"/>
        <v>0</v>
      </c>
      <c r="S83" s="436">
        <f si="23" t="shared"/>
        <v>0</v>
      </c>
      <c r="T83" s="436">
        <f si="23" t="shared"/>
        <v>0</v>
      </c>
      <c r="U83" s="436">
        <f si="23" t="shared"/>
        <v>0</v>
      </c>
      <c r="V83" s="436">
        <f si="23" t="shared"/>
        <v>0</v>
      </c>
      <c r="W83" s="436">
        <f si="23" t="shared"/>
        <v>0</v>
      </c>
      <c r="X83" s="436">
        <f si="23" t="shared"/>
        <v>0</v>
      </c>
      <c r="AE83" s="207"/>
      <c r="AF83" s="207"/>
      <c r="AG83" s="207"/>
      <c r="AH83" s="207"/>
      <c r="AI83" s="207"/>
      <c r="AJ83" s="207"/>
      <c r="AK83" s="207"/>
    </row>
    <row r="84" spans="2:37" x14ac:dyDescent="0.35">
      <c r="B84" s="13" t="s">
        <v>275</v>
      </c>
      <c r="E84" s="460" t="str">
        <f ca="1" ref="E84:X84" si="24" t="shared">IFERROR(IF(E$27&lt;=$D$10,E83*$H$21,0),"")</f>
        <v/>
      </c>
      <c r="F84" s="425">
        <f ca="1" si="24" t="shared"/>
        <v>0</v>
      </c>
      <c r="G84" s="425">
        <f ca="1" si="24" t="shared"/>
        <v>0</v>
      </c>
      <c r="H84" s="425">
        <f ca="1" si="24" t="shared"/>
        <v>0</v>
      </c>
      <c r="I84" s="425">
        <f ca="1" si="24" t="shared"/>
        <v>0</v>
      </c>
      <c r="J84" s="425">
        <f ca="1" si="24" t="shared"/>
        <v>0</v>
      </c>
      <c r="K84" s="425">
        <f ca="1" si="24" t="shared"/>
        <v>0</v>
      </c>
      <c r="L84" s="425">
        <f ca="1" si="24" t="shared"/>
        <v>0</v>
      </c>
      <c r="M84" s="425">
        <f ca="1" si="24" t="shared"/>
        <v>0</v>
      </c>
      <c r="N84" s="425">
        <f ca="1" si="24" t="shared"/>
        <v>0</v>
      </c>
      <c r="O84" s="425">
        <f si="24" t="shared"/>
        <v>0</v>
      </c>
      <c r="P84" s="425">
        <f si="24" t="shared"/>
        <v>0</v>
      </c>
      <c r="Q84" s="425">
        <f si="24" t="shared"/>
        <v>0</v>
      </c>
      <c r="R84" s="425">
        <f si="24" t="shared"/>
        <v>0</v>
      </c>
      <c r="S84" s="425">
        <f si="24" t="shared"/>
        <v>0</v>
      </c>
      <c r="T84" s="425">
        <f si="24" t="shared"/>
        <v>0</v>
      </c>
      <c r="U84" s="425">
        <f si="24" t="shared"/>
        <v>0</v>
      </c>
      <c r="V84" s="425">
        <f si="24" t="shared"/>
        <v>0</v>
      </c>
      <c r="W84" s="425">
        <f si="24" t="shared"/>
        <v>0</v>
      </c>
      <c r="X84" s="425">
        <f si="24" t="shared"/>
        <v>0</v>
      </c>
      <c r="AE84" s="207"/>
      <c r="AF84" s="207"/>
      <c r="AG84" s="207"/>
      <c r="AH84" s="207"/>
      <c r="AI84" s="207"/>
      <c r="AJ84" s="207"/>
      <c r="AK84" s="207"/>
    </row>
    <row r="85" spans="2:37" x14ac:dyDescent="0.35">
      <c r="B85" s="13" t="s">
        <v>298</v>
      </c>
      <c r="E85" s="460">
        <f ca="1" ref="E85:X85" si="25" t="shared">IFERROR(SUM(E83:E84),"")</f>
        <v>0</v>
      </c>
      <c r="F85" s="425">
        <f ca="1" si="25" t="shared"/>
        <v>0</v>
      </c>
      <c r="G85" s="425">
        <f ca="1" si="25" t="shared"/>
        <v>0</v>
      </c>
      <c r="H85" s="425">
        <f ca="1" si="25" t="shared"/>
        <v>0</v>
      </c>
      <c r="I85" s="425">
        <f ca="1" si="25" t="shared"/>
        <v>0</v>
      </c>
      <c r="J85" s="425">
        <f ca="1" si="25" t="shared"/>
        <v>0</v>
      </c>
      <c r="K85" s="425">
        <f ca="1" si="25" t="shared"/>
        <v>0</v>
      </c>
      <c r="L85" s="425">
        <f ca="1" si="25" t="shared"/>
        <v>0</v>
      </c>
      <c r="M85" s="425">
        <f ca="1" si="25" t="shared"/>
        <v>0</v>
      </c>
      <c r="N85" s="425">
        <f ca="1" si="25" t="shared"/>
        <v>0</v>
      </c>
      <c r="O85" s="425">
        <f si="25" t="shared"/>
        <v>0</v>
      </c>
      <c r="P85" s="425">
        <f si="25" t="shared"/>
        <v>0</v>
      </c>
      <c r="Q85" s="425">
        <f si="25" t="shared"/>
        <v>0</v>
      </c>
      <c r="R85" s="425">
        <f si="25" t="shared"/>
        <v>0</v>
      </c>
      <c r="S85" s="425">
        <f si="25" t="shared"/>
        <v>0</v>
      </c>
      <c r="T85" s="425">
        <f si="25" t="shared"/>
        <v>0</v>
      </c>
      <c r="U85" s="425">
        <f si="25" t="shared"/>
        <v>0</v>
      </c>
      <c r="V85" s="425">
        <f si="25" t="shared"/>
        <v>0</v>
      </c>
      <c r="W85" s="425">
        <f si="25" t="shared"/>
        <v>0</v>
      </c>
      <c r="X85" s="425">
        <f si="25" t="shared"/>
        <v>0</v>
      </c>
      <c r="AE85" s="207"/>
      <c r="AF85" s="207"/>
      <c r="AG85" s="207"/>
      <c r="AH85" s="207"/>
      <c r="AI85" s="207"/>
      <c r="AJ85" s="207"/>
      <c r="AK85" s="207"/>
    </row>
    <row r="86" spans="2:37" x14ac:dyDescent="0.35">
      <c r="B86" s="13" t="s">
        <v>299</v>
      </c>
      <c r="E86" s="460">
        <f ca="1" ref="E86:X86" si="26" t="shared">IFERROR(MIN(E85,E70),"")</f>
        <v>0</v>
      </c>
      <c r="F86" s="425">
        <f ca="1" si="26" t="shared"/>
        <v>0</v>
      </c>
      <c r="G86" s="425">
        <f ca="1" si="26" t="shared"/>
        <v>0</v>
      </c>
      <c r="H86" s="425">
        <f ca="1" si="26" t="shared"/>
        <v>0</v>
      </c>
      <c r="I86" s="425">
        <f ca="1" si="26" t="shared"/>
        <v>0</v>
      </c>
      <c r="J86" s="425">
        <f ca="1" si="26" t="shared"/>
        <v>0</v>
      </c>
      <c r="K86" s="425">
        <f ca="1" si="26" t="shared"/>
        <v>0</v>
      </c>
      <c r="L86" s="425">
        <f ca="1" si="26" t="shared"/>
        <v>0</v>
      </c>
      <c r="M86" s="425">
        <f ca="1" si="26" t="shared"/>
        <v>0</v>
      </c>
      <c r="N86" s="425">
        <f ca="1" si="26" t="shared"/>
        <v>0</v>
      </c>
      <c r="O86" s="425">
        <f si="26" t="shared"/>
        <v>0</v>
      </c>
      <c r="P86" s="425">
        <f si="26" t="shared"/>
        <v>0</v>
      </c>
      <c r="Q86" s="425">
        <f si="26" t="shared"/>
        <v>0</v>
      </c>
      <c r="R86" s="425">
        <f si="26" t="shared"/>
        <v>0</v>
      </c>
      <c r="S86" s="425">
        <f si="26" t="shared"/>
        <v>0</v>
      </c>
      <c r="T86" s="425">
        <f si="26" t="shared"/>
        <v>0</v>
      </c>
      <c r="U86" s="425">
        <f si="26" t="shared"/>
        <v>0</v>
      </c>
      <c r="V86" s="425">
        <f si="26" t="shared"/>
        <v>0</v>
      </c>
      <c r="W86" s="425">
        <f si="26" t="shared"/>
        <v>0</v>
      </c>
      <c r="X86" s="425">
        <f si="26" t="shared"/>
        <v>0</v>
      </c>
      <c r="AE86" s="207"/>
      <c r="AF86" s="207"/>
      <c r="AG86" s="207"/>
      <c r="AH86" s="207"/>
      <c r="AI86" s="207"/>
      <c r="AJ86" s="207"/>
      <c r="AK86" s="207"/>
    </row>
    <row r="87" spans="2:37" x14ac:dyDescent="0.35">
      <c r="B87" s="484" t="s">
        <v>300</v>
      </c>
      <c r="C87" s="484"/>
      <c r="D87" s="485"/>
      <c r="E87" s="486">
        <f ca="1" ref="E87:X87" si="27" t="shared">IFERROR(E85-E86,"")</f>
        <v>0</v>
      </c>
      <c r="F87" s="485">
        <f ca="1" si="27" t="shared"/>
        <v>0</v>
      </c>
      <c r="G87" s="485">
        <f ca="1" si="27" t="shared"/>
        <v>0</v>
      </c>
      <c r="H87" s="485">
        <f ca="1" si="27" t="shared"/>
        <v>0</v>
      </c>
      <c r="I87" s="485">
        <f ca="1" si="27" t="shared"/>
        <v>0</v>
      </c>
      <c r="J87" s="485">
        <f ca="1" si="27" t="shared"/>
        <v>0</v>
      </c>
      <c r="K87" s="485">
        <f ca="1" si="27" t="shared"/>
        <v>0</v>
      </c>
      <c r="L87" s="485">
        <f ca="1" si="27" t="shared"/>
        <v>0</v>
      </c>
      <c r="M87" s="485">
        <f ca="1" si="27" t="shared"/>
        <v>0</v>
      </c>
      <c r="N87" s="485">
        <f ca="1" si="27" t="shared"/>
        <v>0</v>
      </c>
      <c r="O87" s="485">
        <f si="27" t="shared"/>
        <v>0</v>
      </c>
      <c r="P87" s="485">
        <f si="27" t="shared"/>
        <v>0</v>
      </c>
      <c r="Q87" s="485">
        <f si="27" t="shared"/>
        <v>0</v>
      </c>
      <c r="R87" s="485">
        <f si="27" t="shared"/>
        <v>0</v>
      </c>
      <c r="S87" s="485">
        <f si="27" t="shared"/>
        <v>0</v>
      </c>
      <c r="T87" s="485">
        <f si="27" t="shared"/>
        <v>0</v>
      </c>
      <c r="U87" s="485">
        <f si="27" t="shared"/>
        <v>0</v>
      </c>
      <c r="V87" s="485">
        <f si="27" t="shared"/>
        <v>0</v>
      </c>
      <c r="W87" s="485">
        <f si="27" t="shared"/>
        <v>0</v>
      </c>
      <c r="X87" s="485">
        <f si="27" t="shared"/>
        <v>0</v>
      </c>
      <c r="Y87" s="487"/>
      <c r="AE87" s="207"/>
      <c r="AF87" s="207"/>
      <c r="AG87" s="207"/>
      <c r="AH87" s="207"/>
      <c r="AI87" s="207"/>
      <c r="AJ87" s="207"/>
      <c r="AK87" s="207"/>
    </row>
    <row r="88" spans="2:37" x14ac:dyDescent="0.35">
      <c r="B88" s="11" t="s">
        <v>301</v>
      </c>
      <c r="C88" s="481"/>
      <c r="D88" s="481">
        <v>0</v>
      </c>
      <c r="E88" s="482">
        <f ref="E88:Y88" si="28" t="shared">D88+1</f>
        <v>1</v>
      </c>
      <c r="F88" s="481">
        <f si="28" t="shared"/>
        <v>2</v>
      </c>
      <c r="G88" s="481">
        <f si="28" t="shared"/>
        <v>3</v>
      </c>
      <c r="H88" s="481">
        <f si="28" t="shared"/>
        <v>4</v>
      </c>
      <c r="I88" s="481">
        <f si="28" t="shared"/>
        <v>5</v>
      </c>
      <c r="J88" s="481">
        <f si="28" t="shared"/>
        <v>6</v>
      </c>
      <c r="K88" s="481">
        <f si="28" t="shared"/>
        <v>7</v>
      </c>
      <c r="L88" s="481">
        <f si="28" t="shared"/>
        <v>8</v>
      </c>
      <c r="M88" s="481">
        <f si="28" t="shared"/>
        <v>9</v>
      </c>
      <c r="N88" s="481">
        <f si="28" t="shared"/>
        <v>10</v>
      </c>
      <c r="O88" s="481">
        <f si="28" t="shared"/>
        <v>11</v>
      </c>
      <c r="P88" s="481">
        <f si="28" t="shared"/>
        <v>12</v>
      </c>
      <c r="Q88" s="481">
        <f si="28" t="shared"/>
        <v>13</v>
      </c>
      <c r="R88" s="481">
        <f si="28" t="shared"/>
        <v>14</v>
      </c>
      <c r="S88" s="481">
        <f si="28" t="shared"/>
        <v>15</v>
      </c>
      <c r="T88" s="481">
        <f si="28" t="shared"/>
        <v>16</v>
      </c>
      <c r="U88" s="481">
        <f si="28" t="shared"/>
        <v>17</v>
      </c>
      <c r="V88" s="481">
        <f si="28" t="shared"/>
        <v>18</v>
      </c>
      <c r="W88" s="481">
        <f si="28" t="shared"/>
        <v>19</v>
      </c>
      <c r="X88" s="481">
        <f si="28" t="shared"/>
        <v>20</v>
      </c>
      <c r="Y88" s="481">
        <f si="28" t="shared"/>
        <v>21</v>
      </c>
      <c r="AE88" s="207"/>
      <c r="AF88" s="207"/>
      <c r="AG88" s="207"/>
      <c r="AH88" s="207"/>
      <c r="AI88" s="207"/>
      <c r="AJ88" s="207"/>
      <c r="AK88" s="207"/>
    </row>
    <row r="89" spans="2:37" x14ac:dyDescent="0.35">
      <c r="B89" s="13" t="s">
        <v>302</v>
      </c>
      <c r="C89" s="210">
        <f>H21</f>
        <v>0.1</v>
      </c>
      <c r="D89" s="425" t="str">
        <f ca="1">IFERROR(-H19,"")</f>
        <v/>
      </c>
      <c r="E89" s="460" t="str">
        <f ca="1" ref="E89:N90" si="29" t="shared">IFERROR(E$86*(-$D89/$H$18),"")</f>
        <v/>
      </c>
      <c r="F89" s="425" t="str">
        <f ca="1" si="29" t="shared"/>
        <v/>
      </c>
      <c r="G89" s="425" t="str">
        <f ca="1" si="29" t="shared"/>
        <v/>
      </c>
      <c r="H89" s="425" t="str">
        <f ca="1" si="29" t="shared"/>
        <v/>
      </c>
      <c r="I89" s="425" t="str">
        <f ca="1" si="29" t="shared"/>
        <v/>
      </c>
      <c r="J89" s="425" t="str">
        <f ca="1" si="29" t="shared"/>
        <v/>
      </c>
      <c r="K89" s="425" t="str">
        <f ca="1" si="29" t="shared"/>
        <v/>
      </c>
      <c r="L89" s="425" t="str">
        <f ca="1" si="29" t="shared"/>
        <v/>
      </c>
      <c r="M89" s="425" t="str">
        <f ca="1" si="29" t="shared"/>
        <v/>
      </c>
      <c r="N89" s="425" t="str">
        <f ca="1" si="29" t="shared"/>
        <v/>
      </c>
      <c r="O89" s="425" t="str">
        <f ca="1" ref="O89:X90" si="30" t="shared">IFERROR(O$86*(-$D89/$H$18),"")</f>
        <v/>
      </c>
      <c r="P89" s="425" t="str">
        <f ca="1" si="30" t="shared"/>
        <v/>
      </c>
      <c r="Q89" s="425" t="str">
        <f ca="1" si="30" t="shared"/>
        <v/>
      </c>
      <c r="R89" s="425" t="str">
        <f ca="1" si="30" t="shared"/>
        <v/>
      </c>
      <c r="S89" s="425" t="str">
        <f ca="1" si="30" t="shared"/>
        <v/>
      </c>
      <c r="T89" s="425" t="str">
        <f ca="1" si="30" t="shared"/>
        <v/>
      </c>
      <c r="U89" s="425" t="str">
        <f ca="1" si="30" t="shared"/>
        <v/>
      </c>
      <c r="V89" s="425" t="str">
        <f ca="1" si="30" t="shared"/>
        <v/>
      </c>
      <c r="W89" s="425" t="str">
        <f ca="1" si="30" t="shared"/>
        <v/>
      </c>
      <c r="X89" s="425" t="str">
        <f ca="1" si="30" t="shared"/>
        <v/>
      </c>
      <c r="AE89" s="207"/>
      <c r="AF89" s="207"/>
      <c r="AG89" s="207"/>
      <c r="AH89" s="207"/>
      <c r="AI89" s="207"/>
      <c r="AJ89" s="207"/>
      <c r="AK89" s="207"/>
    </row>
    <row r="90" spans="2:37" x14ac:dyDescent="0.35">
      <c r="B90" s="13" t="s">
        <v>303</v>
      </c>
      <c r="C90" s="210">
        <f>H21</f>
        <v>0.1</v>
      </c>
      <c r="D90" s="425" t="str">
        <f ca="1">IFERROR(-H20,"")</f>
        <v/>
      </c>
      <c r="E90" s="460" t="str">
        <f ca="1" si="29" t="shared"/>
        <v/>
      </c>
      <c r="F90" s="425" t="str">
        <f ca="1" si="29" t="shared"/>
        <v/>
      </c>
      <c r="G90" s="425" t="str">
        <f ca="1" si="29" t="shared"/>
        <v/>
      </c>
      <c r="H90" s="425" t="str">
        <f ca="1" si="29" t="shared"/>
        <v/>
      </c>
      <c r="I90" s="425" t="str">
        <f ca="1" si="29" t="shared"/>
        <v/>
      </c>
      <c r="J90" s="425" t="str">
        <f ca="1" si="29" t="shared"/>
        <v/>
      </c>
      <c r="K90" s="425" t="str">
        <f ca="1" si="29" t="shared"/>
        <v/>
      </c>
      <c r="L90" s="425" t="str">
        <f ca="1" si="29" t="shared"/>
        <v/>
      </c>
      <c r="M90" s="425" t="str">
        <f ca="1" si="29" t="shared"/>
        <v/>
      </c>
      <c r="N90" s="425" t="str">
        <f ca="1" si="29" t="shared"/>
        <v/>
      </c>
      <c r="O90" s="425" t="str">
        <f ca="1" si="30" t="shared"/>
        <v/>
      </c>
      <c r="P90" s="425" t="str">
        <f ca="1" si="30" t="shared"/>
        <v/>
      </c>
      <c r="Q90" s="425" t="str">
        <f ca="1" si="30" t="shared"/>
        <v/>
      </c>
      <c r="R90" s="425" t="str">
        <f ca="1" si="30" t="shared"/>
        <v/>
      </c>
      <c r="S90" s="425" t="str">
        <f ca="1" si="30" t="shared"/>
        <v/>
      </c>
      <c r="T90" s="425" t="str">
        <f ca="1" si="30" t="shared"/>
        <v/>
      </c>
      <c r="U90" s="425" t="str">
        <f ca="1" si="30" t="shared"/>
        <v/>
      </c>
      <c r="V90" s="425" t="str">
        <f ca="1" si="30" t="shared"/>
        <v/>
      </c>
      <c r="W90" s="425" t="str">
        <f ca="1" si="30" t="shared"/>
        <v/>
      </c>
      <c r="X90" s="425" t="str">
        <f ca="1" si="30" t="shared"/>
        <v/>
      </c>
      <c r="AE90" s="207"/>
      <c r="AF90" s="207"/>
      <c r="AG90" s="207"/>
      <c r="AH90" s="207"/>
      <c r="AI90" s="207"/>
      <c r="AJ90" s="207"/>
      <c r="AK90" s="207"/>
    </row>
    <row r="91" spans="2:37" x14ac:dyDescent="0.35">
      <c r="B91" s="12" t="s">
        <v>304</v>
      </c>
      <c r="C91" s="435"/>
      <c r="D91" s="436">
        <f ca="1">SUM(D89:D90)</f>
        <v>0</v>
      </c>
      <c r="E91" s="483">
        <f ca="1" ref="E91:X91" si="31" t="shared">IFERROR(SUM(E89:E90),"")</f>
        <v>0</v>
      </c>
      <c r="F91" s="436">
        <f ca="1" si="31" t="shared"/>
        <v>0</v>
      </c>
      <c r="G91" s="436">
        <f ca="1" si="31" t="shared"/>
        <v>0</v>
      </c>
      <c r="H91" s="436">
        <f ca="1" si="31" t="shared"/>
        <v>0</v>
      </c>
      <c r="I91" s="436">
        <f ca="1" si="31" t="shared"/>
        <v>0</v>
      </c>
      <c r="J91" s="436">
        <f ca="1" si="31" t="shared"/>
        <v>0</v>
      </c>
      <c r="K91" s="436">
        <f ca="1" si="31" t="shared"/>
        <v>0</v>
      </c>
      <c r="L91" s="436">
        <f ca="1" si="31" t="shared"/>
        <v>0</v>
      </c>
      <c r="M91" s="436">
        <f ca="1" si="31" t="shared"/>
        <v>0</v>
      </c>
      <c r="N91" s="436">
        <f ca="1" si="31" t="shared"/>
        <v>0</v>
      </c>
      <c r="O91" s="436">
        <f ca="1" si="31" t="shared"/>
        <v>0</v>
      </c>
      <c r="P91" s="436">
        <f ca="1" si="31" t="shared"/>
        <v>0</v>
      </c>
      <c r="Q91" s="436">
        <f ca="1" si="31" t="shared"/>
        <v>0</v>
      </c>
      <c r="R91" s="436">
        <f ca="1" si="31" t="shared"/>
        <v>0</v>
      </c>
      <c r="S91" s="436">
        <f ca="1" si="31" t="shared"/>
        <v>0</v>
      </c>
      <c r="T91" s="436">
        <f ca="1" si="31" t="shared"/>
        <v>0</v>
      </c>
      <c r="U91" s="436">
        <f ca="1" si="31" t="shared"/>
        <v>0</v>
      </c>
      <c r="V91" s="436">
        <f ca="1" si="31" t="shared"/>
        <v>0</v>
      </c>
      <c r="W91" s="436">
        <f ca="1" si="31" t="shared"/>
        <v>0</v>
      </c>
      <c r="X91" s="436">
        <f ca="1" si="31" t="shared"/>
        <v>0</v>
      </c>
      <c r="AE91" s="207"/>
      <c r="AF91" s="207"/>
      <c r="AG91" s="207"/>
      <c r="AH91" s="207"/>
      <c r="AI91" s="207"/>
      <c r="AJ91" s="207"/>
      <c r="AK91" s="207"/>
    </row>
    <row r="92" spans="2:37" x14ac:dyDescent="0.35">
      <c r="B92" s="11" t="s">
        <v>305</v>
      </c>
      <c r="C92" s="480"/>
      <c r="D92" s="481">
        <v>0</v>
      </c>
      <c r="E92" s="482">
        <f ref="E92:Y92" si="32" t="shared">D92+1</f>
        <v>1</v>
      </c>
      <c r="F92" s="481">
        <f si="32" t="shared"/>
        <v>2</v>
      </c>
      <c r="G92" s="481">
        <f si="32" t="shared"/>
        <v>3</v>
      </c>
      <c r="H92" s="481">
        <f si="32" t="shared"/>
        <v>4</v>
      </c>
      <c r="I92" s="481">
        <f si="32" t="shared"/>
        <v>5</v>
      </c>
      <c r="J92" s="481">
        <f si="32" t="shared"/>
        <v>6</v>
      </c>
      <c r="K92" s="481">
        <f si="32" t="shared"/>
        <v>7</v>
      </c>
      <c r="L92" s="481">
        <f si="32" t="shared"/>
        <v>8</v>
      </c>
      <c r="M92" s="481">
        <f si="32" t="shared"/>
        <v>9</v>
      </c>
      <c r="N92" s="481">
        <f si="32" t="shared"/>
        <v>10</v>
      </c>
      <c r="O92" s="481">
        <f si="32" t="shared"/>
        <v>11</v>
      </c>
      <c r="P92" s="481">
        <f si="32" t="shared"/>
        <v>12</v>
      </c>
      <c r="Q92" s="481">
        <f si="32" t="shared"/>
        <v>13</v>
      </c>
      <c r="R92" s="481">
        <f si="32" t="shared"/>
        <v>14</v>
      </c>
      <c r="S92" s="481">
        <f si="32" t="shared"/>
        <v>15</v>
      </c>
      <c r="T92" s="481">
        <f si="32" t="shared"/>
        <v>16</v>
      </c>
      <c r="U92" s="481">
        <f si="32" t="shared"/>
        <v>17</v>
      </c>
      <c r="V92" s="481">
        <f si="32" t="shared"/>
        <v>18</v>
      </c>
      <c r="W92" s="481">
        <f si="32" t="shared"/>
        <v>19</v>
      </c>
      <c r="X92" s="481">
        <f si="32" t="shared"/>
        <v>20</v>
      </c>
      <c r="Y92" s="481">
        <f si="32" t="shared"/>
        <v>21</v>
      </c>
      <c r="AE92" s="207"/>
      <c r="AF92" s="207"/>
      <c r="AG92" s="207"/>
      <c r="AH92" s="207"/>
      <c r="AI92" s="207"/>
      <c r="AJ92" s="207"/>
      <c r="AK92" s="207"/>
    </row>
    <row r="93" spans="2:37" x14ac:dyDescent="0.35">
      <c r="B93" s="13" t="s">
        <v>302</v>
      </c>
      <c r="C93" s="433">
        <f>H22</f>
        <v>0.25</v>
      </c>
      <c r="E93" s="460">
        <f ca="1" ref="E93:N94" si="33" t="shared">ROUND((E$70-E$91)*$C93,0)</f>
        <v>0</v>
      </c>
      <c r="F93" s="425">
        <f ca="1" si="33" t="shared"/>
        <v>0</v>
      </c>
      <c r="G93" s="425">
        <f ca="1" si="33" t="shared"/>
        <v>0</v>
      </c>
      <c r="H93" s="425">
        <f ca="1" si="33" t="shared"/>
        <v>0</v>
      </c>
      <c r="I93" s="425">
        <f ca="1" si="33" t="shared"/>
        <v>0</v>
      </c>
      <c r="J93" s="425">
        <f ca="1" si="33" t="shared"/>
        <v>0</v>
      </c>
      <c r="K93" s="425">
        <f ca="1" si="33" t="shared"/>
        <v>0</v>
      </c>
      <c r="L93" s="425">
        <f ca="1" si="33" t="shared"/>
        <v>0</v>
      </c>
      <c r="M93" s="425">
        <f ca="1" si="33" t="shared"/>
        <v>0</v>
      </c>
      <c r="N93" s="425">
        <f ca="1" si="33" t="shared"/>
        <v>0</v>
      </c>
      <c r="O93" s="425">
        <f ca="1" ref="O93:X94" si="34" t="shared">ROUND((O$70-O$91)*$C93,0)</f>
        <v>0</v>
      </c>
      <c r="P93" s="425">
        <f ca="1" si="34" t="shared"/>
        <v>0</v>
      </c>
      <c r="Q93" s="425">
        <f ca="1" si="34" t="shared"/>
        <v>0</v>
      </c>
      <c r="R93" s="425">
        <f ca="1" si="34" t="shared"/>
        <v>0</v>
      </c>
      <c r="S93" s="425">
        <f ca="1" si="34" t="shared"/>
        <v>0</v>
      </c>
      <c r="T93" s="425">
        <f ca="1" si="34" t="shared"/>
        <v>0</v>
      </c>
      <c r="U93" s="425">
        <f ca="1" si="34" t="shared"/>
        <v>0</v>
      </c>
      <c r="V93" s="425">
        <f ca="1" si="34" t="shared"/>
        <v>0</v>
      </c>
      <c r="W93" s="425">
        <f ca="1" si="34" t="shared"/>
        <v>0</v>
      </c>
      <c r="X93" s="425">
        <f ca="1" si="34" t="shared"/>
        <v>0</v>
      </c>
      <c r="AE93" s="207"/>
      <c r="AF93" s="207"/>
      <c r="AG93" s="207"/>
      <c r="AH93" s="207"/>
      <c r="AI93" s="207"/>
      <c r="AJ93" s="207"/>
      <c r="AK93" s="207"/>
    </row>
    <row r="94" spans="2:37" x14ac:dyDescent="0.35">
      <c r="B94" s="13" t="s">
        <v>303</v>
      </c>
      <c r="C94" s="433">
        <f>H23</f>
        <v>0.75</v>
      </c>
      <c r="E94" s="460">
        <f ca="1" si="33" t="shared"/>
        <v>0</v>
      </c>
      <c r="F94" s="425">
        <f ca="1" si="33" t="shared"/>
        <v>0</v>
      </c>
      <c r="G94" s="425">
        <f ca="1" si="33" t="shared"/>
        <v>0</v>
      </c>
      <c r="H94" s="425">
        <f ca="1" si="33" t="shared"/>
        <v>0</v>
      </c>
      <c r="I94" s="425">
        <f ca="1" si="33" t="shared"/>
        <v>0</v>
      </c>
      <c r="J94" s="425">
        <f ca="1" si="33" t="shared"/>
        <v>0</v>
      </c>
      <c r="K94" s="425">
        <f ca="1" si="33" t="shared"/>
        <v>0</v>
      </c>
      <c r="L94" s="425">
        <f ca="1" si="33" t="shared"/>
        <v>0</v>
      </c>
      <c r="M94" s="425">
        <f ca="1" si="33" t="shared"/>
        <v>0</v>
      </c>
      <c r="N94" s="425">
        <f ca="1" si="33" t="shared"/>
        <v>0</v>
      </c>
      <c r="O94" s="425">
        <f ca="1" si="34" t="shared"/>
        <v>0</v>
      </c>
      <c r="P94" s="425">
        <f ca="1" si="34" t="shared"/>
        <v>0</v>
      </c>
      <c r="Q94" s="425">
        <f ca="1" si="34" t="shared"/>
        <v>0</v>
      </c>
      <c r="R94" s="425">
        <f ca="1" si="34" t="shared"/>
        <v>0</v>
      </c>
      <c r="S94" s="425">
        <f ca="1" si="34" t="shared"/>
        <v>0</v>
      </c>
      <c r="T94" s="425">
        <f ca="1" si="34" t="shared"/>
        <v>0</v>
      </c>
      <c r="U94" s="425">
        <f ca="1" si="34" t="shared"/>
        <v>0</v>
      </c>
      <c r="V94" s="425">
        <f ca="1" si="34" t="shared"/>
        <v>0</v>
      </c>
      <c r="W94" s="425">
        <f ca="1" si="34" t="shared"/>
        <v>0</v>
      </c>
      <c r="X94" s="425">
        <f ca="1" si="34" t="shared"/>
        <v>0</v>
      </c>
      <c r="AE94" s="207"/>
      <c r="AF94" s="207"/>
      <c r="AG94" s="207"/>
      <c r="AH94" s="207"/>
      <c r="AI94" s="207"/>
      <c r="AJ94" s="207"/>
      <c r="AK94" s="207"/>
    </row>
    <row r="95" spans="2:37" x14ac:dyDescent="0.35">
      <c r="B95" s="12" t="s">
        <v>304</v>
      </c>
      <c r="E95" s="483">
        <f ca="1" ref="E95:X95" si="35" t="shared">SUM(E93:E94)</f>
        <v>0</v>
      </c>
      <c r="F95" s="436">
        <f ca="1" si="35" t="shared"/>
        <v>0</v>
      </c>
      <c r="G95" s="436">
        <f ca="1" si="35" t="shared"/>
        <v>0</v>
      </c>
      <c r="H95" s="436">
        <f ca="1" si="35" t="shared"/>
        <v>0</v>
      </c>
      <c r="I95" s="436">
        <f ca="1" si="35" t="shared"/>
        <v>0</v>
      </c>
      <c r="J95" s="436">
        <f ca="1" si="35" t="shared"/>
        <v>0</v>
      </c>
      <c r="K95" s="436">
        <f ca="1" si="35" t="shared"/>
        <v>0</v>
      </c>
      <c r="L95" s="436">
        <f ca="1" si="35" t="shared"/>
        <v>0</v>
      </c>
      <c r="M95" s="436">
        <f ca="1" si="35" t="shared"/>
        <v>0</v>
      </c>
      <c r="N95" s="436">
        <f ca="1" si="35" t="shared"/>
        <v>0</v>
      </c>
      <c r="O95" s="436">
        <f ca="1" si="35" t="shared"/>
        <v>0</v>
      </c>
      <c r="P95" s="436">
        <f ca="1" si="35" t="shared"/>
        <v>0</v>
      </c>
      <c r="Q95" s="436">
        <f ca="1" si="35" t="shared"/>
        <v>0</v>
      </c>
      <c r="R95" s="436">
        <f ca="1" si="35" t="shared"/>
        <v>0</v>
      </c>
      <c r="S95" s="436">
        <f ca="1" si="35" t="shared"/>
        <v>0</v>
      </c>
      <c r="T95" s="436">
        <f ca="1" si="35" t="shared"/>
        <v>0</v>
      </c>
      <c r="U95" s="436">
        <f ca="1" si="35" t="shared"/>
        <v>0</v>
      </c>
      <c r="V95" s="436">
        <f ca="1" si="35" t="shared"/>
        <v>0</v>
      </c>
      <c r="W95" s="436">
        <f ca="1" si="35" t="shared"/>
        <v>0</v>
      </c>
      <c r="X95" s="436">
        <f ca="1" si="35" t="shared"/>
        <v>0</v>
      </c>
      <c r="AE95" s="207"/>
      <c r="AF95" s="207"/>
      <c r="AG95" s="207"/>
      <c r="AH95" s="207"/>
      <c r="AI95" s="207"/>
      <c r="AJ95" s="207"/>
      <c r="AK95" s="207"/>
    </row>
    <row r="96" spans="2:37" x14ac:dyDescent="0.35">
      <c r="B96" s="11" t="s">
        <v>284</v>
      </c>
      <c r="C96" s="480"/>
      <c r="D96" s="481">
        <v>0</v>
      </c>
      <c r="E96" s="482">
        <f ref="E96:Y96" si="36" t="shared">D96+1</f>
        <v>1</v>
      </c>
      <c r="F96" s="481">
        <f si="36" t="shared"/>
        <v>2</v>
      </c>
      <c r="G96" s="481">
        <f si="36" t="shared"/>
        <v>3</v>
      </c>
      <c r="H96" s="481">
        <f si="36" t="shared"/>
        <v>4</v>
      </c>
      <c r="I96" s="481">
        <f si="36" t="shared"/>
        <v>5</v>
      </c>
      <c r="J96" s="481">
        <f si="36" t="shared"/>
        <v>6</v>
      </c>
      <c r="K96" s="481">
        <f si="36" t="shared"/>
        <v>7</v>
      </c>
      <c r="L96" s="481">
        <f si="36" t="shared"/>
        <v>8</v>
      </c>
      <c r="M96" s="481">
        <f si="36" t="shared"/>
        <v>9</v>
      </c>
      <c r="N96" s="481">
        <f si="36" t="shared"/>
        <v>10</v>
      </c>
      <c r="O96" s="481">
        <f si="36" t="shared"/>
        <v>11</v>
      </c>
      <c r="P96" s="481">
        <f si="36" t="shared"/>
        <v>12</v>
      </c>
      <c r="Q96" s="481">
        <f si="36" t="shared"/>
        <v>13</v>
      </c>
      <c r="R96" s="481">
        <f si="36" t="shared"/>
        <v>14</v>
      </c>
      <c r="S96" s="481">
        <f si="36" t="shared"/>
        <v>15</v>
      </c>
      <c r="T96" s="481">
        <f si="36" t="shared"/>
        <v>16</v>
      </c>
      <c r="U96" s="481">
        <f si="36" t="shared"/>
        <v>17</v>
      </c>
      <c r="V96" s="481">
        <f si="36" t="shared"/>
        <v>18</v>
      </c>
      <c r="W96" s="481">
        <f si="36" t="shared"/>
        <v>19</v>
      </c>
      <c r="X96" s="481">
        <f si="36" t="shared"/>
        <v>20</v>
      </c>
      <c r="Y96" s="481">
        <f si="36" t="shared"/>
        <v>21</v>
      </c>
      <c r="AE96" s="207"/>
      <c r="AF96" s="207"/>
      <c r="AG96" s="207"/>
      <c r="AH96" s="207"/>
      <c r="AI96" s="207"/>
      <c r="AJ96" s="207"/>
      <c r="AK96" s="207"/>
    </row>
    <row r="97" spans="2:37" x14ac:dyDescent="0.35">
      <c r="B97" s="13" t="s">
        <v>302</v>
      </c>
      <c r="D97" s="425" t="str">
        <f ca="1" ref="D97:X98" si="37" t="shared">IFERROR(D89+D93,"")</f>
        <v/>
      </c>
      <c r="E97" s="460" t="str">
        <f ca="1" si="37" t="shared"/>
        <v/>
      </c>
      <c r="F97" s="425" t="str">
        <f ca="1" si="37" t="shared"/>
        <v/>
      </c>
      <c r="G97" s="425" t="str">
        <f ca="1" si="37" t="shared"/>
        <v/>
      </c>
      <c r="H97" s="425" t="str">
        <f ca="1" si="37" t="shared"/>
        <v/>
      </c>
      <c r="I97" s="425" t="str">
        <f ca="1" si="37" t="shared"/>
        <v/>
      </c>
      <c r="J97" s="425" t="str">
        <f ca="1" si="37" t="shared"/>
        <v/>
      </c>
      <c r="K97" s="425" t="str">
        <f ca="1" si="37" t="shared"/>
        <v/>
      </c>
      <c r="L97" s="425" t="str">
        <f ca="1" si="37" t="shared"/>
        <v/>
      </c>
      <c r="M97" s="425" t="str">
        <f ca="1" si="37" t="shared"/>
        <v/>
      </c>
      <c r="N97" s="425" t="str">
        <f ca="1" si="37" t="shared"/>
        <v/>
      </c>
      <c r="O97" s="425" t="str">
        <f ca="1" si="37" t="shared"/>
        <v/>
      </c>
      <c r="P97" s="425" t="str">
        <f ca="1" si="37" t="shared"/>
        <v/>
      </c>
      <c r="Q97" s="425" t="str">
        <f ca="1" si="37" t="shared"/>
        <v/>
      </c>
      <c r="R97" s="425" t="str">
        <f ca="1" si="37" t="shared"/>
        <v/>
      </c>
      <c r="S97" s="425" t="str">
        <f ca="1" si="37" t="shared"/>
        <v/>
      </c>
      <c r="T97" s="425" t="str">
        <f ca="1" si="37" t="shared"/>
        <v/>
      </c>
      <c r="U97" s="425" t="str">
        <f ca="1" si="37" t="shared"/>
        <v/>
      </c>
      <c r="V97" s="425" t="str">
        <f ca="1" si="37" t="shared"/>
        <v/>
      </c>
      <c r="W97" s="425" t="str">
        <f ca="1" si="37" t="shared"/>
        <v/>
      </c>
      <c r="X97" s="425" t="str">
        <f ca="1" si="37" t="shared"/>
        <v/>
      </c>
      <c r="AE97" s="207"/>
      <c r="AF97" s="207"/>
      <c r="AG97" s="207"/>
      <c r="AH97" s="207"/>
      <c r="AI97" s="207"/>
      <c r="AJ97" s="207"/>
      <c r="AK97" s="207"/>
    </row>
    <row r="98" spans="2:37" x14ac:dyDescent="0.35">
      <c r="B98" s="13" t="s">
        <v>303</v>
      </c>
      <c r="D98" s="425" t="str">
        <f ca="1" si="37" t="shared"/>
        <v/>
      </c>
      <c r="E98" s="460" t="str">
        <f ca="1" si="37" t="shared"/>
        <v/>
      </c>
      <c r="F98" s="425" t="str">
        <f ca="1" si="37" t="shared"/>
        <v/>
      </c>
      <c r="G98" s="425" t="str">
        <f ca="1" si="37" t="shared"/>
        <v/>
      </c>
      <c r="H98" s="425" t="str">
        <f ca="1" si="37" t="shared"/>
        <v/>
      </c>
      <c r="I98" s="425" t="str">
        <f ca="1" si="37" t="shared"/>
        <v/>
      </c>
      <c r="J98" s="425" t="str">
        <f ca="1" si="37" t="shared"/>
        <v/>
      </c>
      <c r="K98" s="425" t="str">
        <f ca="1" si="37" t="shared"/>
        <v/>
      </c>
      <c r="L98" s="425" t="str">
        <f ca="1" si="37" t="shared"/>
        <v/>
      </c>
      <c r="M98" s="425" t="str">
        <f ca="1" si="37" t="shared"/>
        <v/>
      </c>
      <c r="N98" s="425" t="str">
        <f ca="1" si="37" t="shared"/>
        <v/>
      </c>
      <c r="O98" s="425" t="str">
        <f ca="1" si="37" t="shared"/>
        <v/>
      </c>
      <c r="P98" s="425" t="str">
        <f ca="1" si="37" t="shared"/>
        <v/>
      </c>
      <c r="Q98" s="425" t="str">
        <f ca="1" si="37" t="shared"/>
        <v/>
      </c>
      <c r="R98" s="425" t="str">
        <f ca="1" si="37" t="shared"/>
        <v/>
      </c>
      <c r="S98" s="425" t="str">
        <f ca="1" si="37" t="shared"/>
        <v/>
      </c>
      <c r="T98" s="425" t="str">
        <f ca="1" si="37" t="shared"/>
        <v/>
      </c>
      <c r="U98" s="425" t="str">
        <f ca="1" si="37" t="shared"/>
        <v/>
      </c>
      <c r="V98" s="425" t="str">
        <f ca="1" si="37" t="shared"/>
        <v/>
      </c>
      <c r="W98" s="425" t="str">
        <f ca="1" si="37" t="shared"/>
        <v/>
      </c>
      <c r="X98" s="425" t="str">
        <f ca="1" si="37" t="shared"/>
        <v/>
      </c>
      <c r="AE98" s="207"/>
      <c r="AF98" s="207"/>
      <c r="AG98" s="207"/>
      <c r="AH98" s="207"/>
      <c r="AI98" s="207"/>
      <c r="AJ98" s="207"/>
      <c r="AK98" s="207"/>
    </row>
    <row r="99" spans="2:37" x14ac:dyDescent="0.35">
      <c r="B99" s="12" t="s">
        <v>306</v>
      </c>
      <c r="D99" s="436">
        <f ca="1" ref="D99:X99" si="38" t="shared">SUM(D97:D98)</f>
        <v>0</v>
      </c>
      <c r="E99" s="483">
        <f ca="1" si="38" t="shared"/>
        <v>0</v>
      </c>
      <c r="F99" s="436">
        <f ca="1" si="38" t="shared"/>
        <v>0</v>
      </c>
      <c r="G99" s="436">
        <f ca="1" si="38" t="shared"/>
        <v>0</v>
      </c>
      <c r="H99" s="436">
        <f ca="1" si="38" t="shared"/>
        <v>0</v>
      </c>
      <c r="I99" s="436">
        <f ca="1" si="38" t="shared"/>
        <v>0</v>
      </c>
      <c r="J99" s="436">
        <f ca="1" si="38" t="shared"/>
        <v>0</v>
      </c>
      <c r="K99" s="436">
        <f ca="1" si="38" t="shared"/>
        <v>0</v>
      </c>
      <c r="L99" s="436">
        <f ca="1" si="38" t="shared"/>
        <v>0</v>
      </c>
      <c r="M99" s="436">
        <f ca="1" si="38" t="shared"/>
        <v>0</v>
      </c>
      <c r="N99" s="436">
        <f ca="1" si="38" t="shared"/>
        <v>0</v>
      </c>
      <c r="O99" s="436">
        <f ca="1" si="38" t="shared"/>
        <v>0</v>
      </c>
      <c r="P99" s="436">
        <f ca="1" si="38" t="shared"/>
        <v>0</v>
      </c>
      <c r="Q99" s="436">
        <f ca="1" si="38" t="shared"/>
        <v>0</v>
      </c>
      <c r="R99" s="436">
        <f ca="1" si="38" t="shared"/>
        <v>0</v>
      </c>
      <c r="S99" s="436">
        <f ca="1" si="38" t="shared"/>
        <v>0</v>
      </c>
      <c r="T99" s="436">
        <f ca="1" si="38" t="shared"/>
        <v>0</v>
      </c>
      <c r="U99" s="436">
        <f ca="1" si="38" t="shared"/>
        <v>0</v>
      </c>
      <c r="V99" s="436">
        <f ca="1" si="38" t="shared"/>
        <v>0</v>
      </c>
      <c r="W99" s="436">
        <f ca="1" si="38" t="shared"/>
        <v>0</v>
      </c>
      <c r="X99" s="436">
        <f ca="1" si="38" t="shared"/>
        <v>0</v>
      </c>
      <c r="AE99" s="207"/>
      <c r="AF99" s="207"/>
      <c r="AG99" s="207"/>
      <c r="AH99" s="207"/>
      <c r="AI99" s="207"/>
      <c r="AJ99" s="207"/>
      <c r="AK99" s="207"/>
    </row>
    <row r="100" spans="2:37" x14ac:dyDescent="0.35">
      <c r="B100" s="14"/>
      <c r="AE100" s="207"/>
      <c r="AF100" s="207"/>
      <c r="AG100" s="207"/>
      <c r="AH100" s="207"/>
      <c r="AI100" s="207"/>
      <c r="AJ100" s="207"/>
      <c r="AK100" s="207"/>
    </row>
    <row r="101" spans="2:37" x14ac:dyDescent="0.35">
      <c r="B101" s="15" t="s">
        <v>307</v>
      </c>
      <c r="C101" s="16" t="s">
        <v>302</v>
      </c>
      <c r="D101" s="17" t="s">
        <v>303</v>
      </c>
      <c r="E101" s="18" t="s">
        <v>304</v>
      </c>
      <c r="AE101" s="207"/>
      <c r="AF101" s="207"/>
      <c r="AG101" s="207"/>
      <c r="AH101" s="207"/>
      <c r="AI101" s="207"/>
      <c r="AJ101" s="207"/>
      <c r="AK101" s="207"/>
    </row>
    <row r="102" spans="2:37" x14ac:dyDescent="0.35">
      <c r="B102" s="466" t="s">
        <v>286</v>
      </c>
      <c r="C102" s="488" t="str">
        <f ca="1">H19</f>
        <v/>
      </c>
      <c r="D102" s="489" t="str">
        <f ca="1">H20</f>
        <v/>
      </c>
      <c r="E102" s="490" t="str">
        <f ca="1">IFERROR(IF(SUM(INDIRECT("C"&amp;ROW()):INDIRECT("D"&amp;ROW()))=0,"",SUM(INDIRECT("C"&amp;ROW()):INDIRECT("D"&amp;ROW()))),"")</f>
        <v/>
      </c>
      <c r="AE102" s="207"/>
      <c r="AF102" s="207"/>
      <c r="AG102" s="207"/>
      <c r="AH102" s="207"/>
      <c r="AI102" s="207"/>
      <c r="AJ102" s="207"/>
      <c r="AK102" s="207"/>
    </row>
    <row r="103" spans="2:37" x14ac:dyDescent="0.35">
      <c r="B103" s="466" t="s">
        <v>363</v>
      </c>
      <c r="C103" s="491" t="str">
        <f ca="1">IFERROR(IF(SUM(E97:X97)=0,"",SUM(E97:X97)),"")</f>
        <v/>
      </c>
      <c r="D103" s="492" t="str">
        <f ca="1">IFERROR(IF(SUM(E98:X98)=0,"",SUM(E98:X98)),"")</f>
        <v/>
      </c>
      <c r="E103" s="493" t="str">
        <f ca="1">IFERROR(IF(SUM(E99:X99)=0,"",SUM(E99:X99)),"")</f>
        <v/>
      </c>
      <c r="AE103" s="207"/>
      <c r="AF103" s="207"/>
      <c r="AG103" s="207"/>
      <c r="AH103" s="207"/>
      <c r="AI103" s="207"/>
      <c r="AJ103" s="207"/>
      <c r="AK103" s="207"/>
    </row>
    <row r="104" spans="2:37" x14ac:dyDescent="0.35">
      <c r="B104" s="466" t="s">
        <v>287</v>
      </c>
      <c r="C104" s="491" t="str">
        <f ca="1">IFERROR(IF(SUM(D97:X97)=0,"",SUM(D97:X97)),"")</f>
        <v/>
      </c>
      <c r="D104" s="492" t="str">
        <f ca="1">IFERROR(IF(SUM(D98:X98)=0,"",SUM(D98:X98)),"")</f>
        <v/>
      </c>
      <c r="E104" s="493" t="str">
        <f ca="1">IFERROR(IF(SUM(D99:X99)=0,"",SUM(D99:X99)),"")</f>
        <v/>
      </c>
      <c r="AE104" s="207"/>
      <c r="AF104" s="207"/>
      <c r="AG104" s="207"/>
      <c r="AH104" s="207"/>
      <c r="AI104" s="207"/>
      <c r="AJ104" s="207"/>
      <c r="AK104" s="207"/>
    </row>
    <row r="105" spans="2:37" x14ac:dyDescent="0.35">
      <c r="B105" s="466" t="s">
        <v>288</v>
      </c>
      <c r="C105" s="494" t="str">
        <f ca="1">IFERROR(-SUM(E97:X97)/D97,"")</f>
        <v/>
      </c>
      <c r="D105" s="495" t="str">
        <f ca="1">IFERROR(-SUM(E98:X98)/D98,"")</f>
        <v/>
      </c>
      <c r="E105" s="496" t="str">
        <f ca="1">IFERROR(-SUM(E99:X99)/D99,"")</f>
        <v/>
      </c>
      <c r="AE105" s="207"/>
      <c r="AF105" s="207"/>
      <c r="AG105" s="207"/>
      <c r="AH105" s="207"/>
      <c r="AI105" s="207"/>
      <c r="AJ105" s="207"/>
      <c r="AK105" s="207"/>
    </row>
    <row r="106" spans="2:37" x14ac:dyDescent="0.35">
      <c r="B106" s="466" t="s">
        <v>274</v>
      </c>
      <c r="C106" s="497" t="str">
        <f ca="1">IFERROR(IRR(D97:X97),"")</f>
        <v/>
      </c>
      <c r="D106" s="498" t="str">
        <f ca="1">IFERROR(IRR(D98:X98),"")</f>
        <v/>
      </c>
      <c r="E106" s="499" t="str">
        <f ca="1">IFERROR(IRR(D99:X99),"")</f>
        <v/>
      </c>
      <c r="AE106" s="207"/>
      <c r="AF106" s="207"/>
      <c r="AG106" s="207"/>
      <c r="AH106" s="207"/>
      <c r="AI106" s="207"/>
      <c r="AJ106" s="207"/>
      <c r="AK106" s="207"/>
    </row>
    <row r="107" spans="2:37" x14ac:dyDescent="0.35">
      <c r="B107" s="470" t="s">
        <v>289</v>
      </c>
      <c r="C107" s="500" t="str">
        <f ca="1">IFERROR(-E97/D97,"")</f>
        <v/>
      </c>
      <c r="D107" s="501" t="str">
        <f ca="1">IFERROR(-E98/D98,"")</f>
        <v/>
      </c>
      <c r="E107" s="502" t="str">
        <f ca="1">IFERROR(-E99/D99,"")</f>
        <v/>
      </c>
      <c r="AE107" s="207"/>
      <c r="AF107" s="207"/>
      <c r="AG107" s="207"/>
      <c r="AH107" s="207"/>
      <c r="AI107" s="207"/>
      <c r="AJ107" s="207"/>
      <c r="AK107" s="207"/>
    </row>
    <row r="108" spans="2:37" x14ac:dyDescent="0.35">
      <c r="B108" s="503"/>
      <c r="C108" s="503"/>
      <c r="D108" s="504"/>
      <c r="E108" s="504"/>
      <c r="F108" s="504"/>
      <c r="AE108" s="207"/>
      <c r="AF108" s="207"/>
      <c r="AG108" s="207"/>
      <c r="AH108" s="207"/>
      <c r="AI108" s="207"/>
      <c r="AJ108" s="207"/>
      <c r="AK108" s="207"/>
    </row>
    <row r="109" spans="2:37" x14ac:dyDescent="0.35">
      <c r="B109" s="503"/>
      <c r="C109" s="503"/>
      <c r="D109" s="504"/>
      <c r="E109" s="504"/>
      <c r="F109" s="504"/>
      <c r="AE109" s="207"/>
      <c r="AF109" s="207"/>
      <c r="AG109" s="207"/>
      <c r="AH109" s="207"/>
      <c r="AI109" s="207"/>
      <c r="AJ109" s="207"/>
      <c r="AK109" s="207"/>
    </row>
    <row r="110" spans="2:37" x14ac:dyDescent="0.35">
      <c r="D110" s="419"/>
      <c r="E110" s="419"/>
      <c r="F110" s="419"/>
      <c r="AE110" s="207"/>
      <c r="AF110" s="207"/>
      <c r="AG110" s="207"/>
      <c r="AH110" s="207"/>
      <c r="AI110" s="207"/>
      <c r="AJ110" s="207"/>
      <c r="AK110" s="207"/>
    </row>
    <row r="111" spans="2:37" x14ac:dyDescent="0.35">
      <c r="AE111" s="207"/>
      <c r="AF111" s="207"/>
      <c r="AG111" s="207"/>
      <c r="AH111" s="207"/>
      <c r="AI111" s="207"/>
      <c r="AJ111" s="207"/>
      <c r="AK111" s="207"/>
    </row>
    <row r="112" spans="2:37" x14ac:dyDescent="0.35">
      <c r="AE112" s="207"/>
      <c r="AF112" s="207"/>
      <c r="AG112" s="207"/>
      <c r="AH112" s="207"/>
      <c r="AI112" s="207"/>
      <c r="AJ112" s="207"/>
      <c r="AK112" s="207"/>
    </row>
    <row r="113" spans="31:37" x14ac:dyDescent="0.35">
      <c r="AE113" s="207"/>
      <c r="AF113" s="207"/>
      <c r="AG113" s="207"/>
      <c r="AH113" s="207"/>
      <c r="AI113" s="207"/>
      <c r="AJ113" s="207"/>
      <c r="AK113" s="207"/>
    </row>
    <row r="114" spans="31:37" x14ac:dyDescent="0.35">
      <c r="AE114" s="207"/>
      <c r="AF114" s="207"/>
      <c r="AG114" s="207"/>
      <c r="AH114" s="207"/>
      <c r="AI114" s="207"/>
      <c r="AJ114" s="207"/>
      <c r="AK114" s="207"/>
    </row>
    <row r="115" spans="31:37" x14ac:dyDescent="0.35">
      <c r="AE115" s="207"/>
      <c r="AF115" s="207"/>
      <c r="AG115" s="207"/>
      <c r="AH115" s="207"/>
      <c r="AI115" s="207"/>
      <c r="AJ115" s="207"/>
      <c r="AK115" s="207"/>
    </row>
    <row r="116" spans="31:37" x14ac:dyDescent="0.35">
      <c r="AE116" s="207"/>
      <c r="AF116" s="207"/>
      <c r="AG116" s="207"/>
      <c r="AH116" s="207"/>
      <c r="AI116" s="207"/>
      <c r="AJ116" s="207"/>
      <c r="AK116" s="207"/>
    </row>
    <row r="117" spans="31:37" x14ac:dyDescent="0.35">
      <c r="AE117" s="207"/>
      <c r="AF117" s="207"/>
      <c r="AG117" s="207"/>
      <c r="AH117" s="207"/>
      <c r="AI117" s="207"/>
      <c r="AJ117" s="207"/>
      <c r="AK117" s="207"/>
    </row>
    <row r="118" spans="31:37" x14ac:dyDescent="0.35">
      <c r="AE118" s="207"/>
      <c r="AF118" s="207"/>
      <c r="AG118" s="207"/>
      <c r="AH118" s="207"/>
      <c r="AI118" s="207"/>
      <c r="AJ118" s="207"/>
      <c r="AK118" s="207"/>
    </row>
  </sheetData>
  <conditionalFormatting sqref="E39:Y39 E57:Y57 E63:Y63 E82:Y82 E88:Y88 E92:Y92 E96:Y96">
    <cfRule dxfId="4" operator="greaterThan" priority="5" type="cellIs">
      <formula>$D$10</formula>
    </cfRule>
  </conditionalFormatting>
  <conditionalFormatting sqref="D28:Y29 D40:Y44 D58:Y60 D64:Y69 D83:Y87 D89:X91 D93:X95 D97:Y99">
    <cfRule dxfId="3" operator="equal" priority="4" type="cellIs">
      <formula>0</formula>
    </cfRule>
  </conditionalFormatting>
  <conditionalFormatting sqref="E45:Y45 E61:Y61 E70:Y70 E87:X87 E91:X91 E95:X95 E99:X99 E30:Y30 E32:Y32 E35:Y35">
    <cfRule dxfId="2" priority="3" type="containsBlanks">
      <formula>LEN(TRIM(E30))=0</formula>
    </cfRule>
  </conditionalFormatting>
  <conditionalFormatting sqref="E45:Y45 E61:Y61 E70:Y70 E87:X87 E91:X91 E95:X95 E99:X99 E30:Y30 E32:Y32">
    <cfRule dxfId="1" operator="equal" priority="2" type="cellIs">
      <formula>0</formula>
    </cfRule>
  </conditionalFormatting>
  <conditionalFormatting sqref="E27:Y27">
    <cfRule dxfId="0" operator="greaterThan" priority="1" type="cellIs">
      <formula>$D$10+1</formula>
    </cfRule>
  </conditionalFormatting>
  <dataValidations count="1" disablePrompts="1">
    <dataValidation showErrorMessage="1" showInputMessage="1" sqref="D9" type="list" xr:uid="{67F88A89-78BC-45C5-A072-0A7B030A15C6}">
      <formula1>"Enodo,User"</formula1>
      <formula2>0</formula2>
    </dataValidation>
  </dataValidations>
  <pageMargins bottom="0.75" footer="0.3" header="0.3" left="0.7" right="0.7" top="0.75"/>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87048-D976-4F4A-BDB1-2657B03C2735}">
  <sheetPr>
    <tabColor theme="9"/>
  </sheetPr>
  <dimension ref="A1:L307"/>
  <sheetViews>
    <sheetView topLeftCell="A154" view="pageLayout" workbookViewId="0" zoomScale="130" zoomScaleNormal="100" zoomScalePageLayoutView="130">
      <selection activeCell="A145" sqref="A145"/>
    </sheetView>
  </sheetViews>
  <sheetFormatPr defaultColWidth="11.1796875" defaultRowHeight="14.5" x14ac:dyDescent="0.35"/>
  <cols>
    <col min="1" max="11" customWidth="true" style="693" width="9.0" collapsed="false"/>
    <col min="12" max="21" customWidth="true" style="865" width="8.81640625" collapsed="false"/>
    <col min="22" max="16384" style="865" width="11.1796875" collapsed="false"/>
  </cols>
  <sheetData>
    <row customFormat="1" r="1" s="693" spans="1:11" x14ac:dyDescent="0.35">
      <c r="A1" s="571"/>
      <c r="B1" s="571"/>
      <c r="C1" s="571"/>
      <c r="D1" s="571"/>
      <c r="E1" s="571"/>
      <c r="F1" s="571"/>
      <c r="G1" s="571"/>
      <c r="H1" s="571"/>
      <c r="I1" s="505"/>
      <c r="J1" s="571"/>
      <c r="K1" s="571"/>
    </row>
    <row customFormat="1" ht="21" r="2" s="693" spans="1:11" x14ac:dyDescent="0.35">
      <c r="A2" s="694" t="s">
        <v>430</v>
      </c>
      <c r="B2" s="571"/>
      <c r="C2" s="571"/>
      <c r="D2" s="571"/>
      <c r="E2" s="571"/>
      <c r="F2" s="571"/>
      <c r="G2" s="571"/>
      <c r="H2" s="571"/>
      <c r="I2" s="695"/>
      <c r="J2" s="571"/>
      <c r="K2" s="571"/>
    </row>
    <row customFormat="1" r="3" s="693" spans="1:11" x14ac:dyDescent="0.35">
      <c r="A3" s="571"/>
      <c r="B3" s="571"/>
      <c r="C3" s="571"/>
      <c r="D3" s="571"/>
      <c r="E3" s="571"/>
      <c r="F3" s="571"/>
      <c r="G3" s="571"/>
      <c r="H3" s="571"/>
      <c r="I3" s="505"/>
      <c r="J3" s="571"/>
      <c r="K3" s="571"/>
    </row>
    <row customFormat="1" r="4" s="693" spans="1:11" x14ac:dyDescent="0.35">
      <c r="A4" s="571"/>
      <c r="B4" s="571"/>
      <c r="C4" s="571"/>
      <c r="D4" s="571"/>
      <c r="E4" s="571"/>
      <c r="F4" s="571"/>
      <c r="G4" s="571"/>
      <c r="H4" s="571"/>
      <c r="I4" s="505"/>
      <c r="J4" s="571"/>
      <c r="K4" s="571"/>
    </row>
    <row customFormat="1" r="5" s="693" spans="1:11" x14ac:dyDescent="0.35">
      <c r="A5" s="571"/>
      <c r="B5" s="571"/>
      <c r="C5" s="571"/>
      <c r="D5" s="571"/>
      <c r="E5" s="571"/>
      <c r="F5" s="571"/>
      <c r="G5" s="571"/>
      <c r="H5" s="571"/>
      <c r="I5" s="505"/>
      <c r="J5" s="571"/>
      <c r="K5" s="571"/>
    </row>
    <row customFormat="1" r="6" s="693" spans="1:11" x14ac:dyDescent="0.35">
      <c r="A6" s="571"/>
      <c r="B6" s="571"/>
      <c r="C6" s="571"/>
      <c r="D6" s="571"/>
      <c r="E6" s="571"/>
      <c r="F6" s="571"/>
      <c r="G6" s="571"/>
      <c r="H6" s="571"/>
      <c r="I6" s="505"/>
      <c r="J6" s="571"/>
      <c r="K6" s="571"/>
    </row>
    <row customFormat="1" r="7" s="693" spans="1:11" x14ac:dyDescent="0.35">
      <c r="A7" s="571"/>
      <c r="B7" s="571"/>
      <c r="C7" s="571"/>
      <c r="D7" s="571"/>
      <c r="E7" s="571"/>
      <c r="F7" s="571"/>
      <c r="G7" s="571"/>
      <c r="H7" s="571"/>
      <c r="I7" s="505"/>
      <c r="J7" s="571"/>
      <c r="K7" s="571"/>
    </row>
    <row customFormat="1" r="8" s="693" spans="1:11" x14ac:dyDescent="0.35">
      <c r="A8" s="571"/>
      <c r="B8" s="571"/>
      <c r="C8" s="571"/>
      <c r="D8" s="571"/>
      <c r="E8" s="571"/>
      <c r="F8" s="571"/>
      <c r="G8" s="571"/>
      <c r="H8" s="571"/>
      <c r="I8" s="505"/>
      <c r="J8" s="571"/>
      <c r="K8" s="571"/>
    </row>
    <row customFormat="1" r="9" s="693" spans="1:11" x14ac:dyDescent="0.35">
      <c r="A9" s="571"/>
      <c r="B9" s="571"/>
      <c r="C9" s="571"/>
      <c r="D9" s="571"/>
      <c r="E9" s="571"/>
      <c r="F9" s="571"/>
      <c r="G9" s="571"/>
      <c r="H9" s="571"/>
      <c r="I9" s="505"/>
      <c r="J9" s="571"/>
      <c r="K9" s="571"/>
    </row>
    <row customFormat="1" r="10" s="693" spans="1:11" x14ac:dyDescent="0.35">
      <c r="A10" s="571"/>
      <c r="B10" s="571"/>
      <c r="C10" s="571"/>
      <c r="D10" s="571"/>
      <c r="E10" s="571"/>
      <c r="F10" s="571"/>
      <c r="G10" s="571"/>
      <c r="H10" s="571"/>
      <c r="I10" s="505"/>
      <c r="J10" s="571"/>
      <c r="K10" s="571"/>
    </row>
    <row customFormat="1" r="11" s="693" spans="1:11" x14ac:dyDescent="0.35">
      <c r="A11" s="571"/>
      <c r="B11" s="571"/>
      <c r="C11" s="571"/>
      <c r="D11" s="571"/>
      <c r="E11" s="571"/>
      <c r="F11" s="571"/>
      <c r="G11" s="571"/>
      <c r="H11" s="571"/>
      <c r="I11" s="505"/>
      <c r="J11" s="571"/>
      <c r="K11" s="571"/>
    </row>
    <row customFormat="1" r="12" s="693" spans="1:11" x14ac:dyDescent="0.35">
      <c r="A12" s="571"/>
      <c r="B12" s="571"/>
      <c r="C12" s="571"/>
      <c r="D12" s="571"/>
      <c r="E12" s="571"/>
      <c r="F12" s="571"/>
      <c r="G12" s="571"/>
      <c r="H12" s="571"/>
      <c r="I12" s="505"/>
      <c r="J12" s="571"/>
      <c r="K12" s="571"/>
    </row>
    <row customFormat="1" r="13" s="693" spans="1:11" x14ac:dyDescent="0.35">
      <c r="A13" s="696" t="s">
        <v>431</v>
      </c>
      <c r="B13" s="571"/>
      <c r="C13" s="571"/>
      <c r="D13" s="571"/>
      <c r="E13" s="571"/>
      <c r="F13" s="571"/>
      <c r="G13" s="571"/>
      <c r="H13" s="571"/>
      <c r="I13" s="505"/>
      <c r="J13" s="571"/>
      <c r="K13" s="571"/>
    </row>
    <row customFormat="1" r="14" s="693" spans="1:11" x14ac:dyDescent="0.35">
      <c r="A14" s="571"/>
      <c r="B14" s="571"/>
      <c r="C14" s="571"/>
      <c r="D14" s="571"/>
      <c r="E14" s="571"/>
      <c r="F14" s="571"/>
      <c r="G14" s="571"/>
      <c r="H14" s="571"/>
      <c r="I14" s="505"/>
      <c r="J14" s="571"/>
      <c r="K14" s="571"/>
    </row>
    <row customFormat="1" r="15" s="693" spans="1:11" x14ac:dyDescent="0.35">
      <c r="A15" s="571"/>
      <c r="B15" s="571"/>
      <c r="C15" s="571"/>
      <c r="D15" s="571"/>
      <c r="E15" s="571"/>
      <c r="F15" s="571"/>
      <c r="G15" s="571"/>
      <c r="H15" s="571"/>
      <c r="I15" s="505"/>
      <c r="J15" s="571"/>
      <c r="K15" s="571"/>
    </row>
    <row customFormat="1" r="16" s="693" spans="1:11" x14ac:dyDescent="0.35">
      <c r="A16" s="571"/>
      <c r="B16" s="571"/>
      <c r="C16" s="571"/>
      <c r="D16" s="571"/>
      <c r="E16" s="571"/>
      <c r="F16" s="571"/>
      <c r="G16" s="571"/>
      <c r="H16" s="571"/>
      <c r="I16" s="505"/>
      <c r="J16" s="571"/>
      <c r="K16" s="571"/>
    </row>
    <row customFormat="1" r="17" s="693" spans="1:11" x14ac:dyDescent="0.35">
      <c r="A17" s="571"/>
      <c r="B17" s="571"/>
      <c r="C17" s="571"/>
      <c r="D17" s="571"/>
      <c r="E17" s="571"/>
      <c r="F17" s="571"/>
      <c r="G17" s="571"/>
      <c r="H17" s="571"/>
      <c r="I17" s="505"/>
      <c r="J17" s="571"/>
      <c r="K17" s="571"/>
    </row>
    <row customFormat="1" r="18" s="693" spans="1:11" x14ac:dyDescent="0.35">
      <c r="A18" s="571"/>
      <c r="B18" s="571"/>
      <c r="C18" s="571"/>
      <c r="D18" s="571"/>
      <c r="E18" s="571"/>
      <c r="F18" s="571"/>
      <c r="G18" s="571"/>
      <c r="H18" s="571"/>
      <c r="I18" s="505"/>
      <c r="J18" s="571"/>
      <c r="K18" s="571"/>
    </row>
    <row customFormat="1" r="19" s="693" spans="1:11" x14ac:dyDescent="0.35">
      <c r="A19" s="571"/>
      <c r="B19" s="571"/>
      <c r="C19" s="571"/>
      <c r="D19" s="571"/>
      <c r="E19" s="571"/>
      <c r="F19" s="571"/>
      <c r="G19" s="571"/>
      <c r="H19" s="571"/>
      <c r="I19" s="505"/>
      <c r="J19" s="571"/>
      <c r="K19" s="571"/>
    </row>
    <row customFormat="1" r="20" s="693" spans="1:11" x14ac:dyDescent="0.35">
      <c r="A20" s="571"/>
      <c r="B20" s="571"/>
      <c r="C20" s="571"/>
      <c r="D20" s="571"/>
      <c r="E20" s="571"/>
      <c r="F20" s="571"/>
      <c r="G20" s="571"/>
      <c r="H20" s="571"/>
      <c r="I20" s="505"/>
      <c r="J20" s="571"/>
      <c r="K20" s="571"/>
    </row>
    <row customFormat="1" r="21" s="693" spans="1:11" x14ac:dyDescent="0.35">
      <c r="A21" s="571"/>
      <c r="B21" s="571"/>
      <c r="C21" s="571"/>
      <c r="D21" s="571"/>
      <c r="E21" s="571"/>
      <c r="F21" s="571"/>
      <c r="G21" s="571"/>
      <c r="H21" s="571"/>
      <c r="I21" s="505"/>
      <c r="J21" s="571"/>
      <c r="K21" s="571"/>
    </row>
    <row customFormat="1" r="22" s="693" spans="1:11" x14ac:dyDescent="0.35">
      <c r="A22" s="571"/>
      <c r="B22" s="571"/>
      <c r="C22" s="571"/>
      <c r="D22" s="571"/>
      <c r="E22" s="571"/>
      <c r="F22" s="571"/>
      <c r="G22" s="571"/>
      <c r="H22" s="571"/>
      <c r="I22" s="505"/>
      <c r="J22" s="571"/>
      <c r="K22" s="571"/>
    </row>
    <row customFormat="1" r="23" s="693" spans="1:11" x14ac:dyDescent="0.35">
      <c r="A23" s="571"/>
      <c r="B23" s="571"/>
      <c r="C23" s="571"/>
      <c r="D23" s="571"/>
      <c r="E23" s="571"/>
      <c r="F23" s="571"/>
      <c r="G23" s="571"/>
      <c r="H23" s="571"/>
      <c r="I23" s="505"/>
      <c r="J23" s="571"/>
      <c r="K23" s="571"/>
    </row>
    <row customFormat="1" ht="18.5" r="24" s="693" spans="1:11" x14ac:dyDescent="0.35">
      <c r="A24" s="697" t="s">
        <v>432</v>
      </c>
      <c r="B24" s="571"/>
      <c r="C24" s="571"/>
      <c r="D24" s="571"/>
      <c r="E24" s="571"/>
      <c r="F24" s="571"/>
      <c r="G24" s="571"/>
      <c r="H24" s="571"/>
      <c r="I24" s="505"/>
      <c r="J24" s="571"/>
      <c r="K24" s="571"/>
    </row>
    <row customFormat="1" ht="18.5" r="25" s="693" spans="1:11" x14ac:dyDescent="0.35">
      <c r="A25" s="697" t="s">
        <v>0</v>
      </c>
      <c r="B25" s="571"/>
      <c r="C25" s="571"/>
      <c r="D25" s="571"/>
      <c r="E25" s="571"/>
      <c r="F25" s="571"/>
      <c r="G25" s="571"/>
      <c r="H25" s="571"/>
      <c r="I25" s="505"/>
      <c r="J25" s="571"/>
      <c r="K25" s="571"/>
    </row>
    <row customFormat="1" ht="18.5" r="26" s="693" spans="1:11" x14ac:dyDescent="0.35">
      <c r="A26" s="697" t="s">
        <v>433</v>
      </c>
      <c r="B26" s="698">
        <f ca="1">TODAY()</f>
        <v>43341</v>
      </c>
      <c r="C26" s="698"/>
      <c r="D26" s="571"/>
      <c r="E26" s="571"/>
      <c r="F26" s="571"/>
      <c r="G26" s="571"/>
      <c r="H26" s="571"/>
      <c r="I26" s="505"/>
      <c r="J26" s="571"/>
      <c r="K26" s="571"/>
    </row>
    <row customFormat="1" r="27" s="693" spans="1:11" x14ac:dyDescent="0.35">
      <c r="A27" s="571"/>
      <c r="B27" s="571"/>
      <c r="C27" s="571"/>
      <c r="D27" s="571"/>
      <c r="E27" s="571"/>
      <c r="F27" s="571"/>
      <c r="G27" s="571"/>
      <c r="H27" s="571"/>
      <c r="I27" s="505"/>
      <c r="J27" s="571"/>
      <c r="K27" s="571"/>
    </row>
    <row customFormat="1" r="28" s="693" spans="1:11" x14ac:dyDescent="0.35">
      <c r="A28" s="571"/>
      <c r="B28" s="571"/>
      <c r="C28" s="571"/>
      <c r="D28" s="571"/>
      <c r="E28" s="571"/>
      <c r="F28" s="571"/>
      <c r="G28" s="571"/>
      <c r="H28" s="571"/>
      <c r="I28" s="505"/>
      <c r="J28" s="571"/>
      <c r="K28" s="571"/>
    </row>
    <row customFormat="1" r="29" s="693" spans="1:11" x14ac:dyDescent="0.35">
      <c r="A29" s="571"/>
      <c r="B29" s="571"/>
      <c r="C29" s="571"/>
      <c r="D29" s="571"/>
      <c r="E29" s="571"/>
      <c r="F29" s="571"/>
      <c r="G29" s="571"/>
      <c r="H29" s="571"/>
      <c r="I29" s="505"/>
      <c r="J29" s="571"/>
      <c r="K29" s="571"/>
    </row>
    <row customFormat="1" r="30" s="693" spans="1:11" x14ac:dyDescent="0.35">
      <c r="A30" s="571"/>
      <c r="B30" s="571"/>
      <c r="C30" s="571"/>
      <c r="D30" s="571"/>
      <c r="E30" s="571"/>
      <c r="F30" s="571"/>
      <c r="G30" s="571"/>
      <c r="H30" s="571"/>
      <c r="I30" s="505"/>
      <c r="J30" s="571"/>
      <c r="K30" s="571"/>
    </row>
    <row customFormat="1" r="31" s="693" spans="1:11" x14ac:dyDescent="0.35">
      <c r="A31" s="571"/>
      <c r="B31" s="571"/>
      <c r="C31" s="571"/>
      <c r="D31" s="571"/>
      <c r="E31" s="571"/>
      <c r="F31" s="571"/>
      <c r="G31" s="571"/>
      <c r="H31" s="571"/>
      <c r="I31" s="505"/>
      <c r="J31" s="571"/>
      <c r="K31" s="571"/>
    </row>
    <row customFormat="1" r="32" s="693" spans="1:11" x14ac:dyDescent="0.35">
      <c r="A32" s="571"/>
      <c r="B32" s="571"/>
      <c r="C32" s="571"/>
      <c r="D32" s="571"/>
      <c r="E32" s="571"/>
      <c r="F32" s="571"/>
      <c r="G32" s="571"/>
      <c r="H32" s="571"/>
      <c r="I32" s="505"/>
      <c r="J32" s="571"/>
      <c r="K32" s="571"/>
    </row>
    <row customFormat="1" r="33" s="693" spans="1:11" x14ac:dyDescent="0.35">
      <c r="A33" s="571"/>
      <c r="B33" s="571"/>
      <c r="C33" s="571"/>
      <c r="D33" s="571"/>
      <c r="E33" s="571"/>
      <c r="F33" s="571"/>
      <c r="G33" s="571"/>
      <c r="H33" s="571"/>
      <c r="I33" s="505"/>
      <c r="J33" s="571"/>
      <c r="K33" s="571"/>
    </row>
    <row customFormat="1" r="34" s="693" spans="1:11" x14ac:dyDescent="0.35">
      <c r="A34" s="571"/>
      <c r="B34" s="571"/>
      <c r="C34" s="571"/>
      <c r="D34" s="571"/>
      <c r="E34" s="571"/>
      <c r="F34" s="571"/>
      <c r="G34" s="571"/>
      <c r="H34" s="571"/>
      <c r="I34" s="505"/>
      <c r="J34" s="571"/>
      <c r="K34" s="571"/>
    </row>
    <row customFormat="1" r="35" s="693" spans="1:11" x14ac:dyDescent="0.35">
      <c r="A35" s="571"/>
      <c r="B35" s="571"/>
      <c r="C35" s="571"/>
      <c r="D35" s="571"/>
      <c r="E35" s="571"/>
      <c r="F35" s="571"/>
      <c r="G35" s="571"/>
      <c r="H35" s="571"/>
      <c r="I35" s="505"/>
      <c r="J35" s="571"/>
      <c r="K35" s="571"/>
    </row>
    <row customFormat="1" r="36" s="693" spans="1:11" x14ac:dyDescent="0.35">
      <c r="A36" s="571"/>
      <c r="B36" s="571"/>
      <c r="C36" s="571"/>
      <c r="D36" s="571"/>
      <c r="E36" s="571"/>
      <c r="F36" s="571"/>
      <c r="G36" s="571"/>
      <c r="H36" s="571"/>
      <c r="I36" s="505"/>
      <c r="J36" s="571"/>
      <c r="K36" s="571"/>
    </row>
    <row customFormat="1" r="37" s="693" spans="1:11" x14ac:dyDescent="0.35">
      <c r="A37" s="571"/>
      <c r="B37" s="571"/>
      <c r="C37" s="571"/>
      <c r="D37" s="571"/>
      <c r="E37" s="571"/>
      <c r="F37" s="571"/>
      <c r="G37" s="571"/>
      <c r="H37" s="571"/>
      <c r="I37" s="505"/>
      <c r="J37" s="571"/>
      <c r="K37" s="571"/>
    </row>
    <row customFormat="1" r="38" s="693" spans="1:11" x14ac:dyDescent="0.35">
      <c r="A38" s="571"/>
      <c r="B38" s="571"/>
      <c r="C38" s="571"/>
      <c r="D38" s="571"/>
      <c r="E38" s="571"/>
      <c r="F38" s="571"/>
      <c r="G38" s="571"/>
      <c r="H38" s="571"/>
      <c r="I38" s="505"/>
      <c r="J38" s="571"/>
      <c r="K38" s="571"/>
    </row>
    <row customFormat="1" r="39" s="693" spans="1:11" x14ac:dyDescent="0.35">
      <c r="A39" s="571"/>
      <c r="B39" s="571"/>
      <c r="C39" s="571"/>
      <c r="D39" s="571"/>
      <c r="E39" s="571"/>
      <c r="F39" s="571"/>
      <c r="G39" s="571"/>
      <c r="H39" s="571"/>
      <c r="I39" s="505"/>
      <c r="J39" s="571"/>
      <c r="K39" s="571"/>
    </row>
    <row customFormat="1" r="40" s="693" spans="1:11" x14ac:dyDescent="0.35">
      <c r="A40" s="571"/>
      <c r="B40" s="571"/>
      <c r="C40" s="571"/>
      <c r="D40" s="571"/>
      <c r="E40" s="571"/>
      <c r="F40" s="571"/>
      <c r="G40" s="571"/>
      <c r="H40" s="571"/>
      <c r="I40" s="505"/>
      <c r="J40" s="571"/>
      <c r="K40" s="571"/>
    </row>
    <row customFormat="1" r="41" s="693" spans="1:11" x14ac:dyDescent="0.35">
      <c r="A41" s="571"/>
      <c r="B41" s="571"/>
      <c r="C41" s="571"/>
      <c r="D41" s="571"/>
      <c r="E41" s="571"/>
      <c r="F41" s="571"/>
      <c r="G41" s="571"/>
      <c r="H41" s="571"/>
      <c r="I41" s="571"/>
      <c r="J41" s="571"/>
      <c r="K41" s="571"/>
    </row>
    <row customFormat="1" r="42" s="693" spans="1:11" x14ac:dyDescent="0.35">
      <c r="A42" s="571"/>
      <c r="B42" s="571"/>
      <c r="C42" s="571"/>
      <c r="D42" s="571"/>
      <c r="E42" s="571"/>
      <c r="F42" s="571"/>
      <c r="G42" s="571"/>
      <c r="H42" s="571"/>
      <c r="I42" s="571"/>
      <c r="J42" s="571"/>
      <c r="K42" s="571"/>
    </row>
    <row customFormat="1" r="43" s="693" spans="1:11" x14ac:dyDescent="0.35">
      <c r="A43" s="571"/>
      <c r="B43" s="571"/>
      <c r="C43" s="571"/>
      <c r="D43" s="571"/>
      <c r="E43" s="571"/>
      <c r="F43" s="571"/>
      <c r="G43" s="571"/>
      <c r="H43" s="571"/>
      <c r="I43" s="571"/>
      <c r="J43" s="571"/>
      <c r="K43" s="571"/>
    </row>
    <row customFormat="1" ht="21" r="44" s="693" spans="1:11" x14ac:dyDescent="0.35">
      <c r="A44" s="694" t="s">
        <v>434</v>
      </c>
      <c r="B44" s="571"/>
      <c r="C44" s="571"/>
      <c r="D44" s="571"/>
      <c r="E44" s="571"/>
      <c r="F44" s="571"/>
      <c r="G44" s="571"/>
      <c r="H44" s="571"/>
      <c r="I44" s="571"/>
      <c r="J44" s="571"/>
      <c r="K44" s="571"/>
    </row>
    <row customFormat="1" r="45" s="693" spans="1:11" x14ac:dyDescent="0.35">
      <c r="A45" s="505"/>
      <c r="B45" s="571"/>
      <c r="C45" s="571"/>
      <c r="D45" s="571"/>
      <c r="E45" s="571"/>
      <c r="F45" s="571"/>
      <c r="G45" s="571"/>
      <c r="H45" s="571"/>
      <c r="I45" s="571"/>
      <c r="J45" s="571"/>
      <c r="K45" s="571"/>
    </row>
    <row customFormat="1" r="46" s="693" spans="1:11" x14ac:dyDescent="0.35">
      <c r="A46" s="699" t="s">
        <v>435</v>
      </c>
      <c r="B46" s="700"/>
      <c r="C46" s="700"/>
      <c r="D46" s="700"/>
      <c r="E46" s="700"/>
      <c r="F46" s="700"/>
      <c r="G46" s="700"/>
      <c r="H46" s="700"/>
      <c r="I46" s="700"/>
      <c r="J46" s="571"/>
      <c r="K46" s="700">
        <v>3</v>
      </c>
    </row>
    <row customFormat="1" r="47" s="693" spans="1:11" x14ac:dyDescent="0.35">
      <c r="A47" s="699" t="s">
        <v>436</v>
      </c>
      <c r="B47" s="700"/>
      <c r="C47" s="700"/>
      <c r="D47" s="700"/>
      <c r="E47" s="700"/>
      <c r="F47" s="700"/>
      <c r="G47" s="700"/>
      <c r="H47" s="700"/>
      <c r="I47" s="700"/>
      <c r="J47" s="571"/>
      <c r="K47" s="700">
        <v>4</v>
      </c>
    </row>
    <row customFormat="1" r="48" s="693" spans="1:11" x14ac:dyDescent="0.35">
      <c r="A48" s="701" t="s">
        <v>437</v>
      </c>
      <c r="B48" s="700"/>
      <c r="C48" s="700"/>
      <c r="D48" s="700"/>
      <c r="E48" s="700"/>
      <c r="F48" s="700"/>
      <c r="G48" s="700"/>
      <c r="H48" s="700"/>
      <c r="I48" s="700"/>
      <c r="J48" s="571"/>
      <c r="K48" s="700">
        <v>5</v>
      </c>
    </row>
    <row customFormat="1" r="49" s="693" spans="1:11" x14ac:dyDescent="0.35">
      <c r="A49" s="701" t="s">
        <v>438</v>
      </c>
      <c r="B49" s="700"/>
      <c r="C49" s="700"/>
      <c r="D49" s="700"/>
      <c r="E49" s="700"/>
      <c r="F49" s="700"/>
      <c r="G49" s="700"/>
      <c r="H49" s="700"/>
      <c r="I49" s="700"/>
      <c r="J49" s="571"/>
      <c r="K49" s="700">
        <v>6</v>
      </c>
    </row>
    <row customFormat="1" r="50" s="693" spans="1:11" x14ac:dyDescent="0.35">
      <c r="A50" s="699" t="s">
        <v>439</v>
      </c>
      <c r="B50" s="700"/>
      <c r="C50" s="700"/>
      <c r="D50" s="700"/>
      <c r="E50" s="700"/>
      <c r="F50" s="700"/>
      <c r="G50" s="700"/>
      <c r="H50" s="700"/>
      <c r="I50" s="700"/>
      <c r="J50" s="571"/>
      <c r="K50" s="700">
        <v>7</v>
      </c>
    </row>
    <row customFormat="1" r="51" s="693" spans="1:11" x14ac:dyDescent="0.35">
      <c r="A51" s="699" t="s">
        <v>440</v>
      </c>
      <c r="B51" s="700"/>
      <c r="C51" s="700"/>
      <c r="D51" s="700"/>
      <c r="E51" s="700"/>
      <c r="F51" s="700"/>
      <c r="G51" s="700"/>
      <c r="H51" s="700"/>
      <c r="I51" s="700"/>
      <c r="J51" s="571"/>
      <c r="K51" s="700">
        <v>10</v>
      </c>
    </row>
    <row customFormat="1" r="52" s="693" spans="1:11" x14ac:dyDescent="0.35">
      <c r="A52" s="701" t="s">
        <v>441</v>
      </c>
      <c r="B52" s="700"/>
      <c r="C52" s="700"/>
      <c r="D52" s="700"/>
      <c r="E52" s="700"/>
      <c r="F52" s="700"/>
      <c r="G52" s="700"/>
      <c r="H52" s="700"/>
      <c r="I52" s="700"/>
      <c r="J52" s="571"/>
      <c r="K52" s="700">
        <v>10</v>
      </c>
    </row>
    <row customFormat="1" r="53" s="693" spans="1:11" x14ac:dyDescent="0.35">
      <c r="A53" s="701" t="s">
        <v>442</v>
      </c>
      <c r="B53" s="700"/>
      <c r="C53" s="700"/>
      <c r="D53" s="700"/>
      <c r="E53" s="700"/>
      <c r="F53" s="700"/>
      <c r="G53" s="700"/>
      <c r="H53" s="700"/>
      <c r="I53" s="700"/>
      <c r="J53" s="571"/>
      <c r="K53" s="700">
        <v>11</v>
      </c>
    </row>
    <row customFormat="1" r="54" s="693" spans="1:11" x14ac:dyDescent="0.35">
      <c r="A54" s="699" t="s">
        <v>443</v>
      </c>
      <c r="B54" s="700"/>
      <c r="C54" s="700"/>
      <c r="D54" s="700"/>
      <c r="E54" s="700"/>
      <c r="F54" s="700"/>
      <c r="G54" s="700"/>
      <c r="H54" s="700"/>
      <c r="I54" s="700"/>
      <c r="J54" s="571"/>
      <c r="K54" s="700">
        <v>12</v>
      </c>
    </row>
    <row customFormat="1" r="55" s="693" spans="1:11" x14ac:dyDescent="0.35">
      <c r="A55" s="699" t="s">
        <v>444</v>
      </c>
      <c r="B55" s="700"/>
      <c r="C55" s="700"/>
      <c r="D55" s="700"/>
      <c r="E55" s="700"/>
      <c r="F55" s="700"/>
      <c r="G55" s="700"/>
      <c r="H55" s="700"/>
      <c r="I55" s="700"/>
      <c r="J55" s="571"/>
      <c r="K55" s="700">
        <v>13</v>
      </c>
    </row>
    <row customFormat="1" r="56" s="693" spans="1:11" x14ac:dyDescent="0.35">
      <c r="A56" s="571"/>
      <c r="B56" s="571"/>
      <c r="C56" s="571"/>
      <c r="D56" s="571"/>
      <c r="E56" s="571"/>
      <c r="F56" s="571"/>
      <c r="G56" s="571"/>
      <c r="H56" s="571"/>
      <c r="I56" s="571"/>
      <c r="J56" s="571"/>
      <c r="K56" s="571"/>
    </row>
    <row customFormat="1" r="57" s="693" spans="1:11" x14ac:dyDescent="0.35">
      <c r="A57" s="571"/>
      <c r="B57" s="571"/>
      <c r="C57" s="571"/>
      <c r="D57" s="571"/>
      <c r="E57" s="571"/>
      <c r="F57" s="571"/>
      <c r="G57" s="571"/>
      <c r="H57" s="571"/>
      <c r="I57" s="571"/>
      <c r="J57" s="571"/>
      <c r="K57" s="571"/>
    </row>
    <row customFormat="1" r="58" s="693" spans="1:11" x14ac:dyDescent="0.35">
      <c r="A58" s="571"/>
      <c r="B58" s="571"/>
      <c r="C58" s="571"/>
      <c r="D58" s="571"/>
      <c r="E58" s="571"/>
      <c r="F58" s="571"/>
      <c r="G58" s="571"/>
      <c r="H58" s="571"/>
      <c r="I58" s="571"/>
      <c r="J58" s="571"/>
      <c r="K58" s="571"/>
    </row>
    <row customFormat="1" r="59" s="693" spans="1:11" x14ac:dyDescent="0.35">
      <c r="A59" s="571"/>
      <c r="B59" s="571"/>
      <c r="C59" s="571"/>
      <c r="D59" s="571"/>
      <c r="E59" s="571"/>
      <c r="F59" s="571"/>
      <c r="G59" s="571"/>
      <c r="H59" s="571"/>
      <c r="I59" s="571"/>
      <c r="J59" s="571"/>
      <c r="K59" s="571"/>
    </row>
    <row customFormat="1" r="60" s="693" spans="1:11" x14ac:dyDescent="0.35">
      <c r="A60" s="571"/>
      <c r="B60" s="571"/>
      <c r="C60" s="571"/>
      <c r="D60" s="571"/>
      <c r="E60" s="571"/>
      <c r="F60" s="571"/>
      <c r="G60" s="571"/>
      <c r="H60" s="571"/>
      <c r="I60" s="571"/>
      <c r="J60" s="571"/>
      <c r="K60" s="571"/>
    </row>
    <row customFormat="1" r="61" s="693" spans="1:11" x14ac:dyDescent="0.35">
      <c r="A61" s="571"/>
      <c r="B61" s="571"/>
      <c r="C61" s="571"/>
      <c r="D61" s="571"/>
      <c r="E61" s="571"/>
      <c r="F61" s="571"/>
      <c r="G61" s="571"/>
      <c r="H61" s="571"/>
      <c r="I61" s="571"/>
      <c r="J61" s="571"/>
      <c r="K61" s="571"/>
    </row>
    <row customFormat="1" r="62" s="693" spans="1:11" x14ac:dyDescent="0.35">
      <c r="A62" s="571"/>
      <c r="B62" s="571"/>
      <c r="C62" s="571"/>
      <c r="D62" s="571"/>
      <c r="E62" s="571"/>
      <c r="F62" s="571"/>
      <c r="G62" s="571"/>
      <c r="H62" s="571"/>
      <c r="I62" s="571"/>
      <c r="J62" s="571"/>
      <c r="K62" s="571"/>
    </row>
    <row customFormat="1" r="63" s="693" spans="1:11" x14ac:dyDescent="0.35">
      <c r="A63" s="571"/>
      <c r="B63" s="571"/>
      <c r="C63" s="571"/>
      <c r="D63" s="571"/>
      <c r="E63" s="571"/>
      <c r="F63" s="571"/>
      <c r="G63" s="571"/>
      <c r="H63" s="571"/>
      <c r="I63" s="571"/>
      <c r="J63" s="571"/>
      <c r="K63" s="571"/>
    </row>
    <row customFormat="1" r="64" s="693" spans="1:11" x14ac:dyDescent="0.35">
      <c r="A64" s="571"/>
      <c r="B64" s="571"/>
      <c r="C64" s="571"/>
      <c r="D64" s="571"/>
      <c r="E64" s="571"/>
      <c r="F64" s="571"/>
      <c r="G64" s="571"/>
      <c r="H64" s="571"/>
      <c r="I64" s="571"/>
      <c r="J64" s="571"/>
      <c r="K64" s="571"/>
    </row>
    <row customFormat="1" r="65" s="693" spans="1:11" x14ac:dyDescent="0.35">
      <c r="A65" s="571"/>
      <c r="B65" s="571"/>
      <c r="C65" s="571"/>
      <c r="D65" s="571"/>
      <c r="E65" s="571"/>
      <c r="F65" s="571"/>
      <c r="G65" s="571"/>
      <c r="H65" s="571"/>
      <c r="I65" s="571"/>
      <c r="J65" s="571"/>
      <c r="K65" s="571"/>
    </row>
    <row customFormat="1" r="66" s="693" spans="1:11" x14ac:dyDescent="0.35">
      <c r="A66" s="571"/>
      <c r="B66" s="571"/>
      <c r="C66" s="571"/>
      <c r="D66" s="571"/>
      <c r="E66" s="571"/>
      <c r="F66" s="571"/>
      <c r="G66" s="571"/>
      <c r="H66" s="571"/>
      <c r="I66" s="571"/>
      <c r="J66" s="571"/>
      <c r="K66" s="571"/>
    </row>
    <row customFormat="1" r="67" s="693" spans="1:11" x14ac:dyDescent="0.35">
      <c r="A67" s="571"/>
      <c r="B67" s="571"/>
      <c r="C67" s="571"/>
      <c r="D67" s="571"/>
      <c r="E67" s="571"/>
      <c r="F67" s="571"/>
      <c r="G67" s="571"/>
      <c r="H67" s="571"/>
      <c r="I67" s="571"/>
      <c r="J67" s="571"/>
      <c r="K67" s="571"/>
    </row>
    <row customFormat="1" r="68" s="693" spans="1:11" x14ac:dyDescent="0.35">
      <c r="A68" s="571"/>
      <c r="B68" s="571"/>
      <c r="C68" s="571"/>
      <c r="D68" s="571"/>
      <c r="E68" s="571"/>
      <c r="F68" s="571"/>
      <c r="G68" s="571"/>
      <c r="H68" s="571"/>
      <c r="I68" s="571"/>
      <c r="J68" s="571"/>
      <c r="K68" s="571"/>
    </row>
    <row customFormat="1" r="69" s="693" spans="1:11" x14ac:dyDescent="0.35">
      <c r="A69" s="571"/>
      <c r="B69" s="571"/>
      <c r="C69" s="571"/>
      <c r="D69" s="571"/>
      <c r="E69" s="571"/>
      <c r="F69" s="571"/>
      <c r="G69" s="571"/>
      <c r="H69" s="571"/>
      <c r="I69" s="571"/>
      <c r="J69" s="571"/>
      <c r="K69" s="571"/>
    </row>
    <row customFormat="1" r="70" s="693" spans="1:11" x14ac:dyDescent="0.35">
      <c r="A70" s="571"/>
      <c r="B70" s="571"/>
      <c r="C70" s="571"/>
      <c r="D70" s="571"/>
      <c r="E70" s="571"/>
      <c r="F70" s="571"/>
      <c r="G70" s="571"/>
      <c r="H70" s="571"/>
      <c r="I70" s="571"/>
      <c r="J70" s="571"/>
      <c r="K70" s="571"/>
    </row>
    <row customFormat="1" r="71" s="693" spans="1:11" x14ac:dyDescent="0.35">
      <c r="A71" s="571"/>
      <c r="B71" s="571"/>
      <c r="C71" s="571"/>
      <c r="D71" s="571"/>
      <c r="E71" s="571"/>
      <c r="F71" s="571"/>
      <c r="G71" s="571"/>
      <c r="H71" s="571"/>
      <c r="I71" s="571"/>
      <c r="J71" s="571"/>
      <c r="K71" s="571"/>
    </row>
    <row customFormat="1" r="72" s="693" spans="1:11" x14ac:dyDescent="0.35">
      <c r="A72" s="571"/>
      <c r="B72" s="571"/>
      <c r="C72" s="571"/>
      <c r="D72" s="571"/>
      <c r="E72" s="571"/>
      <c r="F72" s="571"/>
      <c r="G72" s="571"/>
      <c r="H72" s="571"/>
      <c r="I72" s="571"/>
      <c r="J72" s="571"/>
      <c r="K72" s="571"/>
    </row>
    <row customFormat="1" r="73" s="693" spans="1:11" x14ac:dyDescent="0.35">
      <c r="A73" s="571"/>
      <c r="B73" s="571"/>
      <c r="C73" s="571"/>
      <c r="D73" s="571"/>
      <c r="E73" s="571"/>
      <c r="F73" s="571"/>
      <c r="G73" s="571"/>
      <c r="H73" s="571"/>
      <c r="I73" s="571"/>
      <c r="J73" s="571"/>
      <c r="K73" s="571"/>
    </row>
    <row customFormat="1" r="74" s="693" spans="1:11" x14ac:dyDescent="0.35">
      <c r="A74" s="571"/>
      <c r="B74" s="571"/>
      <c r="C74" s="571"/>
      <c r="D74" s="571"/>
      <c r="E74" s="571"/>
      <c r="F74" s="571"/>
      <c r="G74" s="571"/>
      <c r="H74" s="571"/>
      <c r="I74" s="571"/>
      <c r="J74" s="571"/>
      <c r="K74" s="571"/>
    </row>
    <row customFormat="1" r="75" s="693" spans="1:11" x14ac:dyDescent="0.35">
      <c r="A75" s="571"/>
      <c r="B75" s="571"/>
      <c r="C75" s="571"/>
      <c r="D75" s="571"/>
      <c r="E75" s="571"/>
      <c r="F75" s="571"/>
      <c r="G75" s="571"/>
      <c r="H75" s="571"/>
      <c r="I75" s="571"/>
      <c r="J75" s="571"/>
      <c r="K75" s="571"/>
    </row>
    <row customFormat="1" r="76" s="693" spans="1:11" x14ac:dyDescent="0.35">
      <c r="A76" s="571"/>
      <c r="B76" s="571"/>
      <c r="C76" s="571"/>
      <c r="D76" s="571"/>
      <c r="E76" s="571"/>
      <c r="F76" s="571"/>
      <c r="G76" s="571"/>
      <c r="H76" s="571"/>
      <c r="I76" s="571"/>
      <c r="J76" s="571"/>
      <c r="K76" s="571"/>
    </row>
    <row customFormat="1" r="77" s="693" spans="1:11" x14ac:dyDescent="0.35">
      <c r="A77" s="571"/>
      <c r="B77" s="571"/>
      <c r="C77" s="571"/>
      <c r="D77" s="571"/>
      <c r="E77" s="571"/>
      <c r="F77" s="571"/>
      <c r="G77" s="571"/>
      <c r="H77" s="571"/>
      <c r="I77" s="571"/>
      <c r="J77" s="571"/>
      <c r="K77" s="571"/>
    </row>
    <row customFormat="1" r="78" s="693" spans="1:11" x14ac:dyDescent="0.35">
      <c r="A78" s="571"/>
      <c r="B78" s="571"/>
      <c r="C78" s="571"/>
      <c r="D78" s="571"/>
      <c r="E78" s="571"/>
      <c r="F78" s="571"/>
      <c r="G78" s="571"/>
      <c r="H78" s="571"/>
      <c r="I78" s="571"/>
      <c r="J78" s="571"/>
      <c r="K78" s="571"/>
    </row>
    <row customFormat="1" r="79" s="693" spans="1:11" x14ac:dyDescent="0.35">
      <c r="A79" s="571"/>
      <c r="B79" s="571"/>
      <c r="C79" s="571"/>
      <c r="D79" s="571"/>
      <c r="E79" s="571"/>
      <c r="F79" s="571"/>
      <c r="G79" s="571"/>
      <c r="H79" s="571"/>
      <c r="I79" s="571"/>
      <c r="J79" s="571"/>
      <c r="K79" s="571"/>
    </row>
    <row customFormat="1" r="80" s="693" spans="1:11" x14ac:dyDescent="0.35">
      <c r="A80" s="571"/>
      <c r="B80" s="571"/>
      <c r="C80" s="571"/>
      <c r="D80" s="571"/>
      <c r="E80" s="571"/>
      <c r="F80" s="571"/>
      <c r="G80" s="571"/>
      <c r="H80" s="571"/>
      <c r="I80" s="571"/>
      <c r="J80" s="571"/>
      <c r="K80" s="571"/>
    </row>
    <row customFormat="1" r="81" s="693" spans="1:11" x14ac:dyDescent="0.35">
      <c r="A81" s="571"/>
      <c r="B81" s="571"/>
      <c r="C81" s="571"/>
      <c r="D81" s="571"/>
      <c r="E81" s="571"/>
      <c r="F81" s="571"/>
      <c r="G81" s="571"/>
      <c r="H81" s="571"/>
      <c r="I81" s="571"/>
      <c r="J81" s="571"/>
      <c r="K81" s="571"/>
    </row>
    <row customFormat="1" r="82" s="693" spans="1:11" x14ac:dyDescent="0.35">
      <c r="A82" s="571"/>
      <c r="B82" s="571"/>
      <c r="C82" s="571"/>
      <c r="D82" s="571"/>
      <c r="E82" s="571"/>
      <c r="F82" s="571"/>
      <c r="G82" s="571"/>
      <c r="H82" s="571"/>
      <c r="I82" s="571"/>
      <c r="J82" s="571"/>
      <c r="K82" s="571"/>
    </row>
    <row customFormat="1" r="83" s="693" spans="1:11" x14ac:dyDescent="0.35">
      <c r="A83" s="571"/>
      <c r="B83" s="571"/>
      <c r="C83" s="571"/>
      <c r="D83" s="571"/>
      <c r="E83" s="571"/>
      <c r="F83" s="571"/>
      <c r="G83" s="571"/>
      <c r="H83" s="571"/>
      <c r="I83" s="571"/>
      <c r="J83" s="571"/>
      <c r="K83" s="571"/>
    </row>
    <row customFormat="1" r="84" s="693" spans="1:11" x14ac:dyDescent="0.35">
      <c r="A84" s="571"/>
      <c r="B84" s="571"/>
      <c r="C84" s="571"/>
      <c r="D84" s="571"/>
      <c r="E84" s="571"/>
      <c r="F84" s="571"/>
      <c r="G84" s="571"/>
      <c r="H84" s="571"/>
      <c r="I84" s="571"/>
      <c r="J84" s="571"/>
      <c r="K84" s="571"/>
    </row>
    <row customFormat="1" r="85" s="693" spans="1:11" x14ac:dyDescent="0.35">
      <c r="A85" s="571"/>
      <c r="B85" s="571"/>
      <c r="C85" s="571"/>
      <c r="D85" s="571"/>
      <c r="E85" s="571"/>
      <c r="F85" s="571"/>
      <c r="G85" s="571"/>
      <c r="H85" s="571"/>
      <c r="I85" s="571"/>
      <c r="J85" s="571"/>
      <c r="K85" s="571"/>
    </row>
    <row customFormat="1" ht="21" r="86" s="693" spans="1:11" x14ac:dyDescent="0.35">
      <c r="A86" s="694" t="s">
        <v>435</v>
      </c>
      <c r="B86" s="571"/>
      <c r="C86" s="571"/>
      <c r="D86" s="571"/>
      <c r="E86" s="571"/>
      <c r="F86" s="571"/>
      <c r="G86" s="571"/>
      <c r="H86" s="571"/>
      <c r="I86" s="571"/>
      <c r="J86" s="571"/>
      <c r="K86" s="571"/>
    </row>
    <row customFormat="1" r="87" s="693" spans="1:11" x14ac:dyDescent="0.35">
      <c r="A87" s="571"/>
      <c r="B87" s="571"/>
      <c r="C87" s="571"/>
      <c r="D87" s="571"/>
      <c r="E87" s="571"/>
      <c r="F87" s="571"/>
      <c r="G87" s="571"/>
      <c r="H87" s="571"/>
      <c r="I87" s="571"/>
      <c r="J87" s="571"/>
      <c r="K87" s="571"/>
    </row>
    <row customFormat="1" ht="18.5" r="88" s="693" spans="1:11" x14ac:dyDescent="0.35">
      <c r="A88" s="702" t="s">
        <v>445</v>
      </c>
      <c r="B88" s="505"/>
      <c r="C88" s="505"/>
      <c r="D88" s="505"/>
      <c r="E88" s="505"/>
      <c r="F88" s="505"/>
      <c r="G88" s="505"/>
      <c r="H88" s="505"/>
      <c r="I88" s="505"/>
      <c r="J88" s="505"/>
      <c r="K88" s="505"/>
    </row>
    <row customFormat="1" r="89" s="693" spans="1:11" x14ac:dyDescent="0.35">
      <c r="A89" s="505"/>
      <c r="B89" s="505"/>
      <c r="C89" s="505"/>
      <c r="D89" s="505"/>
      <c r="E89" s="505"/>
      <c r="F89" s="505"/>
      <c r="G89" s="505"/>
      <c r="H89" s="505"/>
      <c r="I89" s="505"/>
      <c r="J89" s="505"/>
      <c r="K89" s="505"/>
    </row>
    <row customFormat="1" r="90" s="693" spans="1:11" x14ac:dyDescent="0.35">
      <c r="A90" s="570" t="str">
        <f>1&amp;"."</f>
        <v>1.</v>
      </c>
      <c r="B90" s="703" t="str">
        <f>IFERROR(INDEX('[2]Key Observations'!$E$15:$F$96,MATCH(MAX('[2]Key Observations'!$E$15:$E$96),'[2]Key Observations'!$E$15:$E$96,0),2),"")</f>
        <v/>
      </c>
      <c r="C90" s="703"/>
      <c r="D90" s="703"/>
      <c r="E90" s="703"/>
      <c r="F90" s="703"/>
      <c r="G90" s="703"/>
      <c r="H90" s="703"/>
      <c r="I90" s="703"/>
      <c r="J90" s="703"/>
      <c r="K90" s="703"/>
    </row>
    <row customFormat="1" r="91" s="693" spans="1:11" x14ac:dyDescent="0.35">
      <c r="A91" s="505"/>
      <c r="B91" s="703"/>
      <c r="C91" s="703"/>
      <c r="D91" s="703"/>
      <c r="E91" s="703"/>
      <c r="F91" s="703"/>
      <c r="G91" s="703"/>
      <c r="H91" s="703"/>
      <c r="I91" s="703"/>
      <c r="J91" s="703"/>
      <c r="K91" s="703"/>
    </row>
    <row customFormat="1" r="92" s="693" spans="1:11" x14ac:dyDescent="0.35">
      <c r="A92" s="571"/>
      <c r="B92" s="572"/>
      <c r="C92" s="572"/>
      <c r="D92" s="572"/>
      <c r="E92" s="572"/>
      <c r="F92" s="572"/>
      <c r="G92" s="572"/>
      <c r="H92" s="572"/>
      <c r="I92" s="572"/>
      <c r="J92" s="572"/>
      <c r="K92" s="572"/>
    </row>
    <row customFormat="1" r="93" s="693" spans="1:11" x14ac:dyDescent="0.35">
      <c r="A93" s="573" t="str">
        <f>2&amp;"."</f>
        <v>2.</v>
      </c>
      <c r="B93" s="703" t="str">
        <f>IFERROR(INDEX('[1]Key Observations'!$E$15:$F$96,MATCH(MIN('[1]Key Observations'!$E$15:$E$96),'[1]Key Observations'!$E$15:$E$96,0),2),"")</f>
        <v/>
      </c>
      <c r="C93" s="703"/>
      <c r="D93" s="703"/>
      <c r="E93" s="703"/>
      <c r="F93" s="703"/>
      <c r="G93" s="703"/>
      <c r="H93" s="703"/>
      <c r="I93" s="703"/>
      <c r="J93" s="703"/>
      <c r="K93" s="703"/>
    </row>
    <row customFormat="1" r="94" s="693" spans="1:11" x14ac:dyDescent="0.35">
      <c r="A94" s="571"/>
      <c r="B94" s="703"/>
      <c r="C94" s="703"/>
      <c r="D94" s="703"/>
      <c r="E94" s="703"/>
      <c r="F94" s="703"/>
      <c r="G94" s="703"/>
      <c r="H94" s="703"/>
      <c r="I94" s="703"/>
      <c r="J94" s="703"/>
      <c r="K94" s="703"/>
    </row>
    <row customFormat="1" r="95" s="693" spans="1:11" x14ac:dyDescent="0.35">
      <c r="A95" s="571"/>
      <c r="B95" s="572"/>
      <c r="C95" s="572"/>
      <c r="D95" s="572"/>
      <c r="E95" s="572"/>
      <c r="F95" s="572"/>
      <c r="G95" s="572"/>
      <c r="H95" s="572"/>
      <c r="I95" s="572"/>
      <c r="J95" s="572"/>
      <c r="K95" s="572"/>
    </row>
    <row customFormat="1" r="96" s="693" spans="1:11" x14ac:dyDescent="0.35">
      <c r="A96" s="573" t="str">
        <f>3&amp;"."</f>
        <v>3.</v>
      </c>
      <c r="B96" s="703"/>
      <c r="C96" s="703"/>
      <c r="D96" s="703"/>
      <c r="E96" s="703"/>
      <c r="F96" s="703"/>
      <c r="G96" s="703"/>
      <c r="H96" s="703"/>
      <c r="I96" s="703"/>
      <c r="J96" s="703"/>
      <c r="K96" s="703"/>
    </row>
    <row customFormat="1" r="97" s="693" spans="1:11" x14ac:dyDescent="0.35">
      <c r="A97" s="571"/>
      <c r="B97" s="703"/>
      <c r="C97" s="703"/>
      <c r="D97" s="703"/>
      <c r="E97" s="703"/>
      <c r="F97" s="703"/>
      <c r="G97" s="703"/>
      <c r="H97" s="703"/>
      <c r="I97" s="703"/>
      <c r="J97" s="703"/>
      <c r="K97" s="703"/>
    </row>
    <row customFormat="1" r="98" s="693" spans="1:11" x14ac:dyDescent="0.35">
      <c r="A98" s="571"/>
      <c r="B98" s="572"/>
      <c r="C98" s="572"/>
      <c r="D98" s="572"/>
      <c r="E98" s="572"/>
      <c r="F98" s="572"/>
      <c r="G98" s="572"/>
      <c r="H98" s="572"/>
      <c r="I98" s="572"/>
      <c r="J98" s="572"/>
      <c r="K98" s="572"/>
    </row>
    <row customFormat="1" r="99" s="693" spans="1:11" x14ac:dyDescent="0.35">
      <c r="A99" s="573" t="str">
        <f>4&amp;"."</f>
        <v>4.</v>
      </c>
      <c r="B99" s="703"/>
      <c r="C99" s="703"/>
      <c r="D99" s="703"/>
      <c r="E99" s="703"/>
      <c r="F99" s="703"/>
      <c r="G99" s="703"/>
      <c r="H99" s="703"/>
      <c r="I99" s="703"/>
      <c r="J99" s="703"/>
      <c r="K99" s="703"/>
    </row>
    <row customFormat="1" r="100" s="693" spans="1:11" x14ac:dyDescent="0.35">
      <c r="A100" s="571"/>
      <c r="B100" s="703"/>
      <c r="C100" s="703"/>
      <c r="D100" s="703"/>
      <c r="E100" s="703"/>
      <c r="F100" s="703"/>
      <c r="G100" s="703"/>
      <c r="H100" s="703"/>
      <c r="I100" s="703"/>
      <c r="J100" s="703"/>
      <c r="K100" s="703"/>
    </row>
    <row customFormat="1" r="101" s="693" spans="1:11" x14ac:dyDescent="0.35">
      <c r="A101" s="571"/>
      <c r="B101" s="572"/>
      <c r="C101" s="572"/>
      <c r="D101" s="572"/>
      <c r="E101" s="572"/>
      <c r="F101" s="572"/>
      <c r="G101" s="572"/>
      <c r="H101" s="572"/>
      <c r="I101" s="572"/>
      <c r="J101" s="572"/>
      <c r="K101" s="572"/>
    </row>
    <row customFormat="1" r="102" s="693" spans="1:11" x14ac:dyDescent="0.35">
      <c r="A102" s="570" t="str">
        <f>5&amp;"."</f>
        <v>5.</v>
      </c>
      <c r="B102" s="703"/>
      <c r="C102" s="703"/>
      <c r="D102" s="703"/>
      <c r="E102" s="703"/>
      <c r="F102" s="703"/>
      <c r="G102" s="703"/>
      <c r="H102" s="703"/>
      <c r="I102" s="703"/>
      <c r="J102" s="703"/>
      <c r="K102" s="703"/>
    </row>
    <row customFormat="1" r="103" s="693" spans="1:11" x14ac:dyDescent="0.35">
      <c r="A103" s="505"/>
      <c r="B103" s="703"/>
      <c r="C103" s="703"/>
      <c r="D103" s="703"/>
      <c r="E103" s="703"/>
      <c r="F103" s="703"/>
      <c r="G103" s="703"/>
      <c r="H103" s="703"/>
      <c r="I103" s="703"/>
      <c r="J103" s="703"/>
      <c r="K103" s="703"/>
    </row>
    <row customFormat="1" ht="18.5" r="104" s="693" spans="1:11" x14ac:dyDescent="0.35">
      <c r="A104" s="899" t="s">
        <v>429</v>
      </c>
      <c r="B104" s="505"/>
      <c r="C104" s="505"/>
      <c r="D104" s="505"/>
      <c r="E104" s="505"/>
      <c r="F104" s="505"/>
      <c r="G104" s="505"/>
      <c r="H104" s="505"/>
      <c r="I104" s="505"/>
      <c r="J104" s="505"/>
      <c r="K104" s="505"/>
    </row>
    <row customFormat="1" r="105" s="693" spans="1:11" x14ac:dyDescent="0.35">
      <c r="A105" s="602"/>
      <c r="B105" s="602"/>
      <c r="C105" s="602"/>
      <c r="D105" s="602"/>
      <c r="E105" s="602"/>
      <c r="F105" s="602"/>
      <c r="G105" s="602"/>
      <c r="H105" s="602"/>
      <c r="I105" s="602"/>
      <c r="J105" s="605"/>
      <c r="K105" s="611"/>
    </row>
    <row customFormat="1" r="106" s="693" spans="1:11" x14ac:dyDescent="0.35">
      <c r="A106" s="506" t="s">
        <v>350</v>
      </c>
      <c r="B106" s="507"/>
      <c r="C106" s="507"/>
      <c r="D106" s="507"/>
      <c r="E106" s="507"/>
      <c r="F106" s="507"/>
      <c r="G106" s="507"/>
      <c r="H106" s="507"/>
      <c r="I106" s="508" t="s">
        <v>54</v>
      </c>
      <c r="J106" s="507" t="s">
        <v>192</v>
      </c>
      <c r="K106" s="575" t="s">
        <v>193</v>
      </c>
    </row>
    <row customFormat="1" r="107" s="693" spans="1:11" x14ac:dyDescent="0.35">
      <c r="A107" s="603" t="s">
        <v>351</v>
      </c>
      <c r="B107" s="602"/>
      <c r="C107" s="602"/>
      <c r="D107" s="602"/>
      <c r="E107" s="602"/>
      <c r="F107" s="602"/>
      <c r="G107" s="602"/>
      <c r="H107" s="602"/>
      <c r="I107" s="604" t="str">
        <f ca="1">Overview!G21</f>
        <v/>
      </c>
      <c r="J107" s="605" t="str">
        <f ca="1">Overview!H21</f>
        <v/>
      </c>
      <c r="K107" s="606" t="str">
        <f ca="1">Overview!I21</f>
        <v/>
      </c>
    </row>
    <row customFormat="1" r="108" s="693" spans="1:11" x14ac:dyDescent="0.35">
      <c r="A108" s="607" t="s">
        <v>352</v>
      </c>
      <c r="B108" s="608"/>
      <c r="C108" s="608"/>
      <c r="D108" s="608"/>
      <c r="E108" s="608"/>
      <c r="F108" s="608"/>
      <c r="G108" s="608"/>
      <c r="H108" s="608"/>
      <c r="I108" s="609" t="str">
        <f ca="1">Overview!G22</f>
        <v/>
      </c>
      <c r="J108" s="605" t="str">
        <f ca="1">Overview!H22</f>
        <v/>
      </c>
      <c r="K108" s="610" t="str">
        <f ca="1">Overview!I22</f>
        <v/>
      </c>
    </row>
    <row customFormat="1" r="109" s="693" spans="1:11" x14ac:dyDescent="0.35">
      <c r="A109" s="509" t="s">
        <v>54</v>
      </c>
      <c r="B109" s="510"/>
      <c r="C109" s="510"/>
      <c r="D109" s="510"/>
      <c r="E109" s="510"/>
      <c r="F109" s="510"/>
      <c r="G109" s="510"/>
      <c r="H109" s="510"/>
      <c r="I109" s="511" t="str">
        <f ca="1">Overview!G23</f>
        <v/>
      </c>
      <c r="J109" s="645" t="str">
        <f ca="1">Overview!H23</f>
        <v/>
      </c>
      <c r="K109" s="576" t="str">
        <f ca="1">Overview!I23</f>
        <v/>
      </c>
    </row>
    <row customFormat="1" r="110" s="693" spans="1:11" x14ac:dyDescent="0.35">
      <c r="A110" s="602"/>
      <c r="B110" s="602"/>
      <c r="C110" s="602"/>
      <c r="D110" s="602"/>
      <c r="E110" s="602"/>
      <c r="F110" s="602"/>
      <c r="G110" s="602"/>
      <c r="H110" s="602"/>
      <c r="I110" s="602"/>
      <c r="J110" s="605"/>
      <c r="K110" s="611"/>
    </row>
    <row customFormat="1" r="111" s="693" spans="1:11" x14ac:dyDescent="0.35">
      <c r="A111" s="506" t="s">
        <v>353</v>
      </c>
      <c r="B111" s="507"/>
      <c r="C111" s="507"/>
      <c r="D111" s="507"/>
      <c r="E111" s="507"/>
      <c r="F111" s="507"/>
      <c r="G111" s="507"/>
      <c r="H111" s="507"/>
      <c r="I111" s="508" t="s">
        <v>54</v>
      </c>
      <c r="J111" s="507" t="s">
        <v>192</v>
      </c>
      <c r="K111" s="575" t="s">
        <v>193</v>
      </c>
    </row>
    <row customFormat="1" r="112" s="693" spans="1:11" x14ac:dyDescent="0.35">
      <c r="A112" s="603" t="s">
        <v>354</v>
      </c>
      <c r="B112" s="602"/>
      <c r="C112" s="602"/>
      <c r="D112" s="602"/>
      <c r="E112" s="602"/>
      <c r="F112" s="602"/>
      <c r="G112" s="602"/>
      <c r="H112" s="602"/>
      <c r="I112" s="604" t="str">
        <f ca="1">Overview!G26</f>
        <v/>
      </c>
      <c r="J112" s="605" t="str">
        <f ca="1">Overview!H26</f>
        <v/>
      </c>
      <c r="K112" s="606" t="str">
        <f ca="1">Overview!I26</f>
        <v/>
      </c>
    </row>
    <row customFormat="1" r="113" s="693" spans="1:11" x14ac:dyDescent="0.35">
      <c r="A113" s="603" t="s">
        <v>355</v>
      </c>
      <c r="B113" s="602"/>
      <c r="C113" s="602"/>
      <c r="D113" s="602"/>
      <c r="E113" s="602"/>
      <c r="F113" s="602"/>
      <c r="G113" s="602"/>
      <c r="H113" s="602"/>
      <c r="I113" s="604" t="str">
        <f ca="1">Overview!G27</f>
        <v/>
      </c>
      <c r="J113" s="605" t="str">
        <f ca="1">Overview!H27</f>
        <v/>
      </c>
      <c r="K113" s="606" t="str">
        <f ca="1">Overview!I27</f>
        <v/>
      </c>
    </row>
    <row customFormat="1" r="114" s="693" spans="1:11" x14ac:dyDescent="0.35">
      <c r="A114" s="612" t="s">
        <v>356</v>
      </c>
      <c r="B114" s="608"/>
      <c r="C114" s="608"/>
      <c r="D114" s="608"/>
      <c r="E114" s="608"/>
      <c r="F114" s="608"/>
      <c r="G114" s="608"/>
      <c r="H114" s="608"/>
      <c r="I114" s="609" t="str">
        <f ca="1">Overview!G28</f>
        <v/>
      </c>
      <c r="J114" s="605" t="str">
        <f ca="1">Overview!H28</f>
        <v/>
      </c>
      <c r="K114" s="606" t="str">
        <f ca="1">Overview!I28</f>
        <v/>
      </c>
    </row>
    <row customFormat="1" r="115" s="693" spans="1:11" x14ac:dyDescent="0.35">
      <c r="A115" s="509" t="s">
        <v>54</v>
      </c>
      <c r="B115" s="510"/>
      <c r="C115" s="510"/>
      <c r="D115" s="510"/>
      <c r="E115" s="510"/>
      <c r="F115" s="510"/>
      <c r="G115" s="510"/>
      <c r="H115" s="510"/>
      <c r="I115" s="511" t="str">
        <f ca="1">Overview!G29</f>
        <v/>
      </c>
      <c r="J115" s="644" t="str">
        <f ca="1">Overview!H29</f>
        <v/>
      </c>
      <c r="K115" s="576" t="str">
        <f ca="1">Overview!I29</f>
        <v/>
      </c>
    </row>
    <row customFormat="1" r="116" s="693" spans="1:11" x14ac:dyDescent="0.35">
      <c r="A116" s="613"/>
      <c r="B116" s="613"/>
      <c r="C116" s="613"/>
      <c r="D116" s="613"/>
      <c r="E116" s="613"/>
      <c r="F116" s="613"/>
      <c r="G116" s="613"/>
      <c r="H116" s="613"/>
      <c r="I116" s="613"/>
      <c r="J116" s="613"/>
      <c r="K116" s="613"/>
    </row>
    <row customFormat="1" r="117" s="693" spans="1:11" x14ac:dyDescent="0.35">
      <c r="A117" s="506" t="s">
        <v>357</v>
      </c>
      <c r="B117" s="507"/>
      <c r="C117" s="507"/>
      <c r="D117" s="507"/>
      <c r="E117" s="507"/>
      <c r="F117" s="507"/>
      <c r="G117" s="507"/>
      <c r="H117" s="507" t="s">
        <v>358</v>
      </c>
      <c r="I117" s="512" t="s">
        <v>359</v>
      </c>
      <c r="J117" s="512" t="s">
        <v>302</v>
      </c>
      <c r="K117" s="513" t="s">
        <v>303</v>
      </c>
    </row>
    <row customFormat="1" r="118" s="693" spans="1:11" x14ac:dyDescent="0.35">
      <c r="A118" s="614" t="s">
        <v>286</v>
      </c>
      <c r="B118" s="615"/>
      <c r="C118" s="615"/>
      <c r="D118" s="615"/>
      <c r="E118" s="615"/>
      <c r="F118" s="615"/>
      <c r="G118" s="615"/>
      <c r="H118" s="616" t="str">
        <f ca="1">Overview!F32</f>
        <v/>
      </c>
      <c r="I118" s="617" t="str">
        <f ca="1">Overview!G32</f>
        <v/>
      </c>
      <c r="J118" s="617" t="str">
        <f ca="1">Overview!H32</f>
        <v/>
      </c>
      <c r="K118" s="618" t="str">
        <f ca="1">Overview!I32</f>
        <v/>
      </c>
    </row>
    <row customFormat="1" r="119" s="693" spans="1:11" x14ac:dyDescent="0.35">
      <c r="A119" s="603" t="s">
        <v>363</v>
      </c>
      <c r="B119" s="602"/>
      <c r="C119" s="602"/>
      <c r="D119" s="602"/>
      <c r="E119" s="602"/>
      <c r="F119" s="602"/>
      <c r="G119" s="602"/>
      <c r="H119" s="619" t="str">
        <f ca="1">Overview!F33</f>
        <v/>
      </c>
      <c r="I119" s="620" t="str">
        <f ca="1">Overview!G33</f>
        <v/>
      </c>
      <c r="J119" s="620" t="str">
        <f ca="1">Overview!H33</f>
        <v/>
      </c>
      <c r="K119" s="621" t="str">
        <f ca="1">Overview!I33</f>
        <v/>
      </c>
    </row>
    <row customFormat="1" r="120" s="693" spans="1:11" x14ac:dyDescent="0.35">
      <c r="A120" s="603" t="s">
        <v>287</v>
      </c>
      <c r="B120" s="602"/>
      <c r="C120" s="602"/>
      <c r="D120" s="602"/>
      <c r="E120" s="602"/>
      <c r="F120" s="602"/>
      <c r="G120" s="602"/>
      <c r="H120" s="619" t="str">
        <f ca="1">Overview!F34</f>
        <v/>
      </c>
      <c r="I120" s="620" t="str">
        <f ca="1">Overview!G34</f>
        <v/>
      </c>
      <c r="J120" s="620" t="str">
        <f ca="1">Overview!H34</f>
        <v/>
      </c>
      <c r="K120" s="621" t="str">
        <f ca="1">Overview!I34</f>
        <v/>
      </c>
    </row>
    <row customFormat="1" r="121" s="693" spans="1:11" x14ac:dyDescent="0.35">
      <c r="A121" s="603" t="s">
        <v>288</v>
      </c>
      <c r="B121" s="602"/>
      <c r="C121" s="602"/>
      <c r="D121" s="602"/>
      <c r="E121" s="602"/>
      <c r="F121" s="602"/>
      <c r="G121" s="602"/>
      <c r="H121" s="622" t="str">
        <f ca="1">Overview!F35</f>
        <v/>
      </c>
      <c r="I121" s="623" t="str">
        <f ca="1">Overview!G35</f>
        <v/>
      </c>
      <c r="J121" s="623" t="str">
        <f ca="1">Overview!H35</f>
        <v/>
      </c>
      <c r="K121" s="624" t="str">
        <f ca="1">Overview!I35</f>
        <v/>
      </c>
    </row>
    <row customFormat="1" r="122" s="693" spans="1:11" x14ac:dyDescent="0.35">
      <c r="A122" s="603" t="s">
        <v>274</v>
      </c>
      <c r="B122" s="602"/>
      <c r="C122" s="602"/>
      <c r="D122" s="602"/>
      <c r="E122" s="602"/>
      <c r="F122" s="602"/>
      <c r="G122" s="602"/>
      <c r="H122" s="625" t="str">
        <f ca="1">Overview!F36</f>
        <v/>
      </c>
      <c r="I122" s="626" t="str">
        <f ca="1">Overview!G36</f>
        <v/>
      </c>
      <c r="J122" s="626" t="str">
        <f ca="1">Overview!H36</f>
        <v/>
      </c>
      <c r="K122" s="627" t="str">
        <f ca="1">Overview!I36</f>
        <v/>
      </c>
    </row>
    <row customFormat="1" r="123" s="693" spans="1:11" x14ac:dyDescent="0.35">
      <c r="A123" s="578" t="s">
        <v>276</v>
      </c>
      <c r="B123" s="608"/>
      <c r="C123" s="608"/>
      <c r="D123" s="608"/>
      <c r="E123" s="608"/>
      <c r="F123" s="608"/>
      <c r="G123" s="608"/>
      <c r="H123" s="628" t="str">
        <f ca="1">Overview!F37</f>
        <v/>
      </c>
      <c r="I123" s="629" t="str">
        <f ca="1">Overview!G37</f>
        <v/>
      </c>
      <c r="J123" s="629" t="str">
        <f ca="1">Overview!H37</f>
        <v/>
      </c>
      <c r="K123" s="630" t="str">
        <f ca="1">Overview!I37</f>
        <v/>
      </c>
    </row>
    <row customFormat="1" r="124" s="693" spans="1:11" x14ac:dyDescent="0.35">
      <c r="A124" s="683" t="s">
        <v>428</v>
      </c>
      <c r="B124" s="505"/>
      <c r="C124" s="577"/>
      <c r="D124" s="577"/>
      <c r="E124" s="577"/>
      <c r="F124" s="577"/>
      <c r="G124" s="52"/>
      <c r="H124" s="52"/>
      <c r="I124" s="571"/>
      <c r="J124" s="571"/>
      <c r="K124" s="571"/>
    </row>
    <row customFormat="1" r="125" s="693" spans="1:11" x14ac:dyDescent="0.35">
      <c r="A125" s="571"/>
      <c r="B125" s="571"/>
      <c r="C125" s="571"/>
      <c r="D125" s="571"/>
      <c r="E125" s="571"/>
      <c r="F125" s="571"/>
      <c r="G125" s="571"/>
      <c r="H125" s="571"/>
      <c r="I125" s="571"/>
      <c r="J125" s="571"/>
      <c r="K125" s="571"/>
    </row>
    <row customFormat="1" r="126" s="693" spans="1:11" x14ac:dyDescent="0.35">
      <c r="A126" s="571"/>
      <c r="B126" s="571"/>
      <c r="C126" s="571"/>
      <c r="D126" s="571"/>
      <c r="E126" s="571"/>
      <c r="F126" s="571"/>
      <c r="G126" s="571"/>
      <c r="H126" s="571"/>
      <c r="I126" s="571"/>
      <c r="J126" s="571"/>
      <c r="K126" s="571"/>
    </row>
    <row customFormat="1" ht="21" r="127" s="693" spans="1:11" x14ac:dyDescent="0.35">
      <c r="A127" s="694" t="s">
        <v>436</v>
      </c>
      <c r="B127" s="571"/>
      <c r="C127" s="571"/>
      <c r="D127" s="571"/>
      <c r="E127" s="571"/>
      <c r="F127" s="571"/>
      <c r="G127" s="571"/>
      <c r="H127" s="571"/>
      <c r="I127" s="571"/>
      <c r="J127" s="571"/>
      <c r="K127" s="571"/>
    </row>
    <row customFormat="1" r="128" s="693" spans="1:11" x14ac:dyDescent="0.35">
      <c r="A128" s="571"/>
      <c r="B128" s="571"/>
      <c r="C128" s="571"/>
      <c r="D128" s="571"/>
      <c r="E128" s="571"/>
      <c r="F128" s="571"/>
      <c r="G128" s="571"/>
      <c r="H128" s="571"/>
      <c r="I128" s="571"/>
      <c r="J128" s="571"/>
      <c r="K128" s="571"/>
    </row>
    <row customFormat="1" ht="18.5" r="129" s="693" spans="1:11" x14ac:dyDescent="0.35">
      <c r="A129" s="709" t="s">
        <v>335</v>
      </c>
      <c r="B129" s="571"/>
      <c r="C129" s="571"/>
      <c r="D129" s="571"/>
      <c r="E129" s="571"/>
      <c r="F129" s="571"/>
      <c r="G129" s="571"/>
      <c r="H129" s="571"/>
      <c r="I129" s="571"/>
      <c r="J129" s="571"/>
      <c r="K129" s="571"/>
    </row>
    <row customFormat="1" r="130" s="693" spans="1:11" x14ac:dyDescent="0.35">
      <c r="A130" s="505"/>
      <c r="B130" s="505"/>
      <c r="C130" s="505"/>
      <c r="D130" s="505"/>
      <c r="E130" s="505"/>
      <c r="F130" s="505"/>
      <c r="G130" s="505"/>
      <c r="H130" s="505"/>
      <c r="I130" s="505"/>
      <c r="J130" s="505"/>
      <c r="K130" s="505"/>
    </row>
    <row customFormat="1" r="131" s="693" spans="1:11" x14ac:dyDescent="0.35">
      <c r="A131" s="710"/>
      <c r="B131" s="708"/>
      <c r="C131" s="708"/>
      <c r="D131" s="708"/>
      <c r="E131" s="708"/>
      <c r="F131" s="708"/>
      <c r="G131" s="708"/>
      <c r="H131" s="708"/>
      <c r="I131" s="708"/>
      <c r="J131" s="708"/>
      <c r="K131" s="711"/>
    </row>
    <row customFormat="1" r="132" s="693" spans="1:11" x14ac:dyDescent="0.35">
      <c r="A132" s="705"/>
      <c r="B132" s="505"/>
      <c r="C132" s="505"/>
      <c r="D132" s="505"/>
      <c r="E132" s="505"/>
      <c r="F132" s="505"/>
      <c r="G132" s="505"/>
      <c r="H132" s="505"/>
      <c r="I132" s="505"/>
      <c r="J132" s="505"/>
      <c r="K132" s="712"/>
    </row>
    <row customFormat="1" r="133" s="693" spans="1:11" x14ac:dyDescent="0.35">
      <c r="A133" s="705"/>
      <c r="B133" s="505"/>
      <c r="C133" s="505"/>
      <c r="D133" s="505"/>
      <c r="E133" s="505"/>
      <c r="F133" s="505"/>
      <c r="G133" s="505"/>
      <c r="H133" s="505"/>
      <c r="I133" s="505"/>
      <c r="J133" s="505"/>
      <c r="K133" s="712"/>
    </row>
    <row customFormat="1" r="134" s="693" spans="1:11" x14ac:dyDescent="0.35">
      <c r="A134" s="705"/>
      <c r="B134" s="505"/>
      <c r="C134" s="505"/>
      <c r="D134" s="505"/>
      <c r="E134" s="505"/>
      <c r="F134" s="505"/>
      <c r="G134" s="505"/>
      <c r="H134" s="505"/>
      <c r="I134" s="505"/>
      <c r="J134" s="505"/>
      <c r="K134" s="712"/>
    </row>
    <row customFormat="1" r="135" s="693" spans="1:11" x14ac:dyDescent="0.35">
      <c r="A135" s="705"/>
      <c r="B135" s="505"/>
      <c r="C135" s="505"/>
      <c r="D135" s="505"/>
      <c r="E135" s="505"/>
      <c r="F135" s="505"/>
      <c r="G135" s="505"/>
      <c r="H135" s="505"/>
      <c r="I135" s="505"/>
      <c r="J135" s="505"/>
      <c r="K135" s="712"/>
    </row>
    <row customFormat="1" r="136" s="693" spans="1:11" x14ac:dyDescent="0.35">
      <c r="A136" s="713" t="s">
        <v>446</v>
      </c>
      <c r="B136" s="505"/>
      <c r="C136" s="505"/>
      <c r="D136" s="505"/>
      <c r="E136" s="505"/>
      <c r="F136" s="505"/>
      <c r="G136" s="505"/>
      <c r="H136" s="505"/>
      <c r="I136" s="505"/>
      <c r="J136" s="505"/>
      <c r="K136" s="712"/>
    </row>
    <row customFormat="1" r="137" s="693" spans="1:11" x14ac:dyDescent="0.35">
      <c r="A137" s="705"/>
      <c r="B137" s="505"/>
      <c r="C137" s="505"/>
      <c r="D137" s="505"/>
      <c r="E137" s="505"/>
      <c r="F137" s="505"/>
      <c r="G137" s="505"/>
      <c r="H137" s="505"/>
      <c r="I137" s="505"/>
      <c r="J137" s="505"/>
      <c r="K137" s="712"/>
    </row>
    <row customFormat="1" r="138" s="693" spans="1:11" x14ac:dyDescent="0.35">
      <c r="A138" s="705"/>
      <c r="B138" s="505"/>
      <c r="C138" s="505"/>
      <c r="D138" s="505"/>
      <c r="E138" s="505"/>
      <c r="F138" s="505"/>
      <c r="G138" s="505"/>
      <c r="H138" s="505"/>
      <c r="I138" s="505"/>
      <c r="J138" s="505"/>
      <c r="K138" s="712"/>
    </row>
    <row customFormat="1" r="139" s="693" spans="1:11" x14ac:dyDescent="0.35">
      <c r="A139" s="705"/>
      <c r="B139" s="505"/>
      <c r="C139" s="505"/>
      <c r="D139" s="505"/>
      <c r="E139" s="505"/>
      <c r="F139" s="505"/>
      <c r="G139" s="505"/>
      <c r="H139" s="505"/>
      <c r="I139" s="505"/>
      <c r="J139" s="505"/>
      <c r="K139" s="712"/>
    </row>
    <row customFormat="1" r="140" s="693" spans="1:11" x14ac:dyDescent="0.35">
      <c r="A140" s="705"/>
      <c r="B140" s="505"/>
      <c r="C140" s="505"/>
      <c r="D140" s="505"/>
      <c r="E140" s="505"/>
      <c r="F140" s="505"/>
      <c r="G140" s="505"/>
      <c r="H140" s="505"/>
      <c r="I140" s="505"/>
      <c r="J140" s="505"/>
      <c r="K140" s="712"/>
    </row>
    <row customFormat="1" r="141" s="693" spans="1:11" x14ac:dyDescent="0.35">
      <c r="A141" s="706"/>
      <c r="B141" s="707"/>
      <c r="C141" s="707"/>
      <c r="D141" s="707"/>
      <c r="E141" s="707"/>
      <c r="F141" s="707"/>
      <c r="G141" s="707"/>
      <c r="H141" s="707"/>
      <c r="I141" s="707"/>
      <c r="J141" s="707"/>
      <c r="K141" s="714"/>
    </row>
    <row customFormat="1" r="142" s="693" spans="1:11" x14ac:dyDescent="0.35">
      <c r="A142" s="571"/>
      <c r="B142" s="571"/>
      <c r="C142" s="571"/>
      <c r="D142" s="571"/>
      <c r="E142" s="571"/>
      <c r="F142" s="571"/>
      <c r="G142" s="571"/>
      <c r="H142" s="571"/>
      <c r="I142" s="571"/>
      <c r="J142" s="571"/>
      <c r="K142" s="571"/>
    </row>
    <row customFormat="1" ht="21" r="143" s="693" spans="1:11" x14ac:dyDescent="0.35">
      <c r="A143" s="694" t="s">
        <v>462</v>
      </c>
      <c r="B143" s="571"/>
      <c r="C143" s="571"/>
      <c r="D143" s="571"/>
      <c r="E143" s="571"/>
      <c r="F143" s="571"/>
      <c r="G143" s="571"/>
      <c r="H143" s="571"/>
      <c r="I143" s="571"/>
      <c r="J143" s="571"/>
      <c r="K143" s="571"/>
    </row>
    <row customFormat="1" r="144" s="693" spans="1:11" x14ac:dyDescent="0.35">
      <c r="A144" s="571"/>
      <c r="B144" s="571"/>
      <c r="C144" s="571"/>
      <c r="D144" s="571"/>
      <c r="E144" s="571"/>
      <c r="F144" s="571"/>
      <c r="G144" s="571"/>
      <c r="H144" s="571"/>
      <c r="I144" s="571"/>
      <c r="J144" s="571"/>
      <c r="K144" s="571"/>
    </row>
    <row customFormat="1" ht="18.5" r="145" s="693" spans="1:11" x14ac:dyDescent="0.35">
      <c r="A145" s="709" t="s">
        <v>472</v>
      </c>
      <c r="B145" s="571"/>
      <c r="C145" s="571"/>
      <c r="D145" s="571"/>
      <c r="E145" s="571"/>
      <c r="F145" s="571"/>
      <c r="G145" s="571"/>
      <c r="H145" s="571"/>
      <c r="I145" s="571"/>
      <c r="J145" s="571"/>
      <c r="K145" s="571"/>
    </row>
    <row customFormat="1" r="146" s="693" spans="1:11" x14ac:dyDescent="0.35">
      <c r="A146" s="571"/>
      <c r="B146" s="571"/>
      <c r="C146" s="571"/>
      <c r="D146" s="571"/>
      <c r="E146" s="571"/>
      <c r="F146" s="571"/>
      <c r="G146" s="571"/>
      <c r="H146" s="571"/>
      <c r="I146" s="571"/>
      <c r="J146" s="571"/>
      <c r="K146" s="571"/>
    </row>
    <row customFormat="1" r="147" s="693" spans="1:11" x14ac:dyDescent="0.35"/>
    <row customFormat="1" r="148" s="693" spans="1:11" x14ac:dyDescent="0.35"/>
    <row customFormat="1" r="149" s="693" spans="1:11" x14ac:dyDescent="0.35"/>
    <row customFormat="1" r="150" s="693" spans="1:11" x14ac:dyDescent="0.35"/>
    <row customFormat="1" r="151" s="693" spans="1:11" x14ac:dyDescent="0.35"/>
    <row customFormat="1" r="152" s="693" spans="1:11" x14ac:dyDescent="0.35"/>
    <row customFormat="1" r="153" s="693" spans="1:11" x14ac:dyDescent="0.35"/>
    <row customFormat="1" r="154" s="693" spans="1:11" x14ac:dyDescent="0.35"/>
    <row customFormat="1" r="155" s="693" spans="1:11" x14ac:dyDescent="0.35"/>
    <row customFormat="1" r="156" s="693" spans="1:11" x14ac:dyDescent="0.35"/>
    <row customFormat="1" r="157" s="693" spans="1:11" x14ac:dyDescent="0.35"/>
    <row customFormat="1" r="158" s="693" spans="1:11" x14ac:dyDescent="0.35"/>
    <row customFormat="1" r="159" s="693" spans="1:11" x14ac:dyDescent="0.35"/>
    <row customFormat="1" r="160" s="693" spans="1:11" x14ac:dyDescent="0.35"/>
    <row customFormat="1" r="161" s="693" spans="1:11" x14ac:dyDescent="0.35"/>
    <row customFormat="1" r="162" s="693" spans="1:11" x14ac:dyDescent="0.35"/>
    <row customFormat="1" r="163" s="693" spans="1:11" x14ac:dyDescent="0.35"/>
    <row customFormat="1" r="164" s="693" spans="1:11" x14ac:dyDescent="0.35"/>
    <row customFormat="1" r="165" s="693" spans="1:11" x14ac:dyDescent="0.35"/>
    <row customFormat="1" r="166" s="693" spans="1:11" x14ac:dyDescent="0.35"/>
    <row customFormat="1" ht="18.5" r="167" s="693" spans="1:11" x14ac:dyDescent="0.35">
      <c r="A167" s="709" t="s">
        <v>472</v>
      </c>
      <c r="B167" s="571"/>
      <c r="C167" s="571"/>
      <c r="D167" s="571"/>
      <c r="E167" s="571"/>
      <c r="F167" s="571"/>
      <c r="G167" s="571"/>
      <c r="H167" s="571"/>
      <c r="I167" s="571"/>
      <c r="J167" s="571"/>
      <c r="K167" s="571"/>
    </row>
    <row customFormat="1" r="168" s="693" spans="1:11" x14ac:dyDescent="0.35">
      <c r="A168" s="571"/>
      <c r="B168" s="571"/>
      <c r="C168" s="571"/>
      <c r="D168" s="571"/>
      <c r="E168" s="571"/>
      <c r="F168" s="571"/>
      <c r="G168" s="571"/>
      <c r="H168" s="571"/>
      <c r="I168" s="571"/>
      <c r="J168" s="571"/>
      <c r="K168" s="571"/>
    </row>
    <row customFormat="1" ht="24" r="169" s="693" spans="1:11" x14ac:dyDescent="0.35">
      <c r="A169" s="890" t="s">
        <v>39</v>
      </c>
      <c r="B169" s="891" t="s">
        <v>86</v>
      </c>
      <c r="C169" s="889" t="s">
        <v>96</v>
      </c>
      <c r="D169" s="894" t="s">
        <v>374</v>
      </c>
      <c r="E169" s="902" t="s">
        <v>415</v>
      </c>
      <c r="F169" s="895" t="s">
        <v>336</v>
      </c>
      <c r="G169" s="905" t="s">
        <v>415</v>
      </c>
      <c r="H169" s="893" t="s">
        <v>156</v>
      </c>
      <c r="I169" s="904" t="s">
        <v>415</v>
      </c>
      <c r="J169" s="892" t="s">
        <v>335</v>
      </c>
      <c r="K169" s="903" t="s">
        <v>415</v>
      </c>
    </row>
    <row customFormat="1" r="170" s="693" spans="1:11" x14ac:dyDescent="0.35">
      <c r="A170" s="866" t="s">
        <v>125</v>
      </c>
      <c r="B170" s="867" t="str">
        <f ca="1">IFERROR(VLOOKUP(INDIRECT("B"&amp;ROW()),'Unit Mix'!$B$8:$Q$13,7,0),"")</f>
        <v/>
      </c>
      <c r="C170" s="868" t="str">
        <f>IFERROR(VLOOKUP(A170,'Unit Mix'!$B$8:$Q$13,11,0),"")</f>
        <v/>
      </c>
      <c r="D170" s="868" t="str">
        <f>IFERROR(VLOOKUP(A170,'Unit Mix'!$B$8:$Q$13,15,0),"")</f>
        <v/>
      </c>
      <c r="E170" s="870" t="str">
        <f>IFERROR((D170-$J170)/$J170,"")</f>
        <v/>
      </c>
      <c r="F170" s="869" t="str">
        <f>IFERROR(VLOOKUP(A170,'Unit Mix'!$B$8:$Q$13,17,0),"")</f>
        <v/>
      </c>
      <c r="G170" s="870" t="str">
        <f>IFERROR((F170-$J170)/$J170,"")</f>
        <v/>
      </c>
      <c r="H170" s="869" t="str">
        <f ca="1">VLOOKUP("Average",'Similar Properties'!$B:$AC,10,0)</f>
        <v/>
      </c>
      <c r="I170" s="870" t="str">
        <f ca="1">IFERROR((H170-$J170)/$J170,"")</f>
        <v/>
      </c>
      <c r="J170" s="869" t="s">
        <v>368</v>
      </c>
      <c r="K170" s="870" t="str">
        <f>IFERROR((J170-$J170)/$J170,"")</f>
        <v/>
      </c>
    </row>
    <row customFormat="1" r="171" s="693" spans="1:11" x14ac:dyDescent="0.35">
      <c r="A171" s="866" t="s">
        <v>127</v>
      </c>
      <c r="B171" s="867" t="str">
        <f ca="1">IFERROR(VLOOKUP(INDIRECT("B"&amp;ROW()),'Unit Mix'!$B$8:$Q$13,7,0),"")</f>
        <v/>
      </c>
      <c r="C171" s="868" t="str">
        <f>IFERROR(VLOOKUP(A171,'Unit Mix'!$B$8:$Q$13,11,0),"")</f>
        <v/>
      </c>
      <c r="D171" s="868" t="str">
        <f>IFERROR(VLOOKUP(A171,'Unit Mix'!$B$8:$Q$13,15,0),"")</f>
        <v/>
      </c>
      <c r="E171" s="870" t="str">
        <f>IFERROR((D171-$J171)/$J171,"")</f>
        <v/>
      </c>
      <c r="F171" s="869" t="str">
        <f>IFERROR(VLOOKUP(A171,'Unit Mix'!$B$8:$Q$13,17,0),"")</f>
        <v/>
      </c>
      <c r="G171" s="870" t="str">
        <f>IFERROR((F171-$J171)/$J171,"")</f>
        <v/>
      </c>
      <c r="H171" s="869" t="str">
        <f ca="1">VLOOKUP("Average",'Similar Properties'!$B:$AC,14,0)</f>
        <v/>
      </c>
      <c r="I171" s="870" t="str">
        <f ca="1">IFERROR((H171-$J171)/$J171,"")</f>
        <v/>
      </c>
      <c r="J171" s="869" t="s">
        <v>369</v>
      </c>
      <c r="K171" s="870" t="str">
        <f>IFERROR((J171-$J171)/$J171,"")</f>
        <v/>
      </c>
    </row>
    <row customFormat="1" r="172" s="693" spans="1:11" x14ac:dyDescent="0.35">
      <c r="A172" s="866" t="s">
        <v>129</v>
      </c>
      <c r="B172" s="867" t="str">
        <f ca="1">IFERROR(VLOOKUP(INDIRECT("B"&amp;ROW()),'Unit Mix'!$B$8:$Q$13,7,0),"")</f>
        <v/>
      </c>
      <c r="C172" s="868" t="str">
        <f>IFERROR(VLOOKUP(A172,'Unit Mix'!$B$8:$Q$13,11,0),"")</f>
        <v/>
      </c>
      <c r="D172" s="868" t="str">
        <f>IFERROR(VLOOKUP(A172,'Unit Mix'!$B$8:$Q$13,15,0),"")</f>
        <v/>
      </c>
      <c r="E172" s="870" t="str">
        <f>IFERROR((D172-$J172)/$J172,"")</f>
        <v/>
      </c>
      <c r="F172" s="869" t="str">
        <f>IFERROR(VLOOKUP(A172,'Unit Mix'!$B$8:$Q$13,17,0),"")</f>
        <v/>
      </c>
      <c r="G172" s="870" t="str">
        <f>IFERROR((F172-$J172)/$J172,"")</f>
        <v/>
      </c>
      <c r="H172" s="869" t="str">
        <f ca="1">VLOOKUP("Average",'Similar Properties'!$B:$AC,18,0)</f>
        <v/>
      </c>
      <c r="I172" s="870" t="str">
        <f ca="1">IFERROR((H172-$J172)/$J172,"")</f>
        <v/>
      </c>
      <c r="J172" s="869" t="s">
        <v>370</v>
      </c>
      <c r="K172" s="870" t="str">
        <f>IFERROR((J172-$J172)/$J172,"")</f>
        <v/>
      </c>
    </row>
    <row customFormat="1" r="173" s="693" spans="1:11" x14ac:dyDescent="0.35">
      <c r="A173" s="866" t="s">
        <v>131</v>
      </c>
      <c r="B173" s="867" t="str">
        <f ca="1">IFERROR(VLOOKUP(INDIRECT("B"&amp;ROW()),'Unit Mix'!$B$8:$Q$13,7,0),"")</f>
        <v/>
      </c>
      <c r="C173" s="868" t="str">
        <f>IFERROR(VLOOKUP(A173,'Unit Mix'!$B$8:$Q$13,11,0),"")</f>
        <v/>
      </c>
      <c r="D173" s="868" t="str">
        <f>IFERROR(VLOOKUP(A173,'Unit Mix'!$B$8:$Q$13,15,0),"")</f>
        <v/>
      </c>
      <c r="E173" s="870" t="str">
        <f>IFERROR((D173-$J173)/$J173,"")</f>
        <v/>
      </c>
      <c r="F173" s="869" t="str">
        <f>IFERROR(VLOOKUP(A173,'Unit Mix'!$B$8:$Q$13,17,0),"")</f>
        <v/>
      </c>
      <c r="G173" s="870" t="str">
        <f>IFERROR((F173-$J173)/$J173,"")</f>
        <v/>
      </c>
      <c r="H173" s="869" t="str">
        <f ca="1">VLOOKUP("Average",'Similar Properties'!$B:$AC,22,0)</f>
        <v/>
      </c>
      <c r="I173" s="870" t="str">
        <f ca="1">IFERROR((H173-$J173)/$J173,"")</f>
        <v/>
      </c>
      <c r="J173" s="869" t="s">
        <v>371</v>
      </c>
      <c r="K173" s="870" t="str">
        <f>IFERROR((J173-$J173)/$J173,"")</f>
        <v/>
      </c>
    </row>
    <row customFormat="1" r="174" s="693" spans="1:11" x14ac:dyDescent="0.35">
      <c r="A174" s="871" t="s">
        <v>133</v>
      </c>
      <c r="B174" s="872" t="str">
        <f ca="1">IFERROR(VLOOKUP(INDIRECT("B"&amp;ROW()),'Unit Mix'!$B$8:$Q$13,7,0),"")</f>
        <v/>
      </c>
      <c r="C174" s="873" t="str">
        <f>IFERROR(VLOOKUP(A174,'Unit Mix'!$B$8:$Q$13,11,0),"")</f>
        <v/>
      </c>
      <c r="D174" s="873" t="str">
        <f>IFERROR(VLOOKUP(A174,'Unit Mix'!$B$8:$Q$13,15,0),"")</f>
        <v/>
      </c>
      <c r="E174" s="875" t="str">
        <f>IFERROR((D174-$J174)/$J174,"")</f>
        <v/>
      </c>
      <c r="F174" s="874" t="str">
        <f>IFERROR(VLOOKUP(A174,'Unit Mix'!$B$8:$Q$13,17,0),"")</f>
        <v/>
      </c>
      <c r="G174" s="875" t="str">
        <f>IFERROR((F174-$J174)/$J174,"")</f>
        <v/>
      </c>
      <c r="H174" s="874" t="str">
        <f ca="1">VLOOKUP("Average",'Similar Properties'!$B:$AC,26,0)</f>
        <v/>
      </c>
      <c r="I174" s="875" t="str">
        <f ca="1">IFERROR((H174-$J174)/$J174,"")</f>
        <v/>
      </c>
      <c r="J174" s="874" t="s">
        <v>372</v>
      </c>
      <c r="K174" s="875" t="str">
        <f>IFERROR((J174-$J174)/$J174,"")</f>
        <v/>
      </c>
    </row>
    <row customFormat="1" r="175" s="693" spans="1:11" x14ac:dyDescent="0.35">
      <c r="A175" s="876" t="s">
        <v>337</v>
      </c>
      <c r="B175" s="877" t="str">
        <f ca="1">IF(SUM(B170:B174)&gt;0,SUM(B170:B174),"")</f>
        <v/>
      </c>
      <c r="C175" s="878">
        <f>IFERROR(SUMPRODUCT(C170:C174,$C170:$C174),"")</f>
        <v>0</v>
      </c>
      <c r="D175" s="878">
        <f>IFERROR(SUMPRODUCT(D170:D174,$C170:$C174),"")</f>
        <v>0</v>
      </c>
      <c r="E175" s="879" t="str">
        <f>IFERROR((D175-$J175)/$J175,"")</f>
        <v/>
      </c>
      <c r="F175" s="878">
        <f>IFERROR(SUMPRODUCT(F170:F174,$C170:$C174),"")</f>
        <v>0</v>
      </c>
      <c r="G175" s="879" t="str">
        <f>IFERROR((F175-$J175)/$J175,"")</f>
        <v/>
      </c>
      <c r="H175" s="878">
        <f ca="1">IFERROR(SUMPRODUCT(H170:H174,$C170:$C174),"")</f>
        <v>0</v>
      </c>
      <c r="I175" s="879" t="str">
        <f ca="1">IFERROR((H175-$J175)/$J175,"")</f>
        <v/>
      </c>
      <c r="J175" s="878">
        <f>IFERROR(SUMPRODUCT(J170:J174,$C170:$C174),"")</f>
        <v>0</v>
      </c>
      <c r="K175" s="879" t="str">
        <f>IFERROR((J175-$J175)/$J175,"")</f>
        <v/>
      </c>
    </row>
    <row customFormat="1" r="176" s="693" spans="1:11" x14ac:dyDescent="0.35">
      <c r="A176" s="880" t="s">
        <v>373</v>
      </c>
      <c r="B176" s="881" t="str">
        <f ca="1">IFERROR(AVERAGE(B170:B174),"")</f>
        <v/>
      </c>
      <c r="C176" s="882" t="str">
        <f>IFERROR(SUMPRODUCT(C170:C174,$C170:$C174)/$C175,"")</f>
        <v/>
      </c>
      <c r="D176" s="882" t="str">
        <f>IFERROR(SUMPRODUCT(D170:D174,$C170:$C174)/$C175,"")</f>
        <v/>
      </c>
      <c r="E176" s="883" t="str">
        <f>IFERROR((D176-$J176)/$J176,"")</f>
        <v/>
      </c>
      <c r="F176" s="882" t="str">
        <f>IFERROR(SUMPRODUCT(F170:F174,$C170:$C174)/$C175,"")</f>
        <v/>
      </c>
      <c r="G176" s="884" t="str">
        <f>IFERROR((F176-$J176)/$J176,"")</f>
        <v/>
      </c>
      <c r="H176" s="882" t="str">
        <f ca="1">IFERROR(SUMPRODUCT(H170:H174,$C170:$C174)/$C175,"")</f>
        <v/>
      </c>
      <c r="I176" s="883" t="str">
        <f ca="1">IFERROR((H176-$J176)/$J176,"")</f>
        <v/>
      </c>
      <c r="J176" s="882" t="str">
        <f>IFERROR(SUMPRODUCT(J170:J174,$C170:$C174)/$C175,"")</f>
        <v/>
      </c>
      <c r="K176" s="883" t="str">
        <f>IFERROR((J176-$J176)/$J176,"")</f>
        <v/>
      </c>
    </row>
    <row customFormat="1" r="177" s="693" spans="1:11" x14ac:dyDescent="0.35">
      <c r="A177" s="885"/>
      <c r="B177" s="886"/>
      <c r="C177" s="887"/>
      <c r="D177" s="887"/>
      <c r="E177" s="888"/>
      <c r="F177" s="887"/>
      <c r="G177" s="888"/>
      <c r="H177" s="887"/>
      <c r="I177" s="888"/>
      <c r="J177" s="887"/>
      <c r="K177" s="888"/>
    </row>
    <row customFormat="1" ht="18.5" r="178" s="693" spans="1:11" x14ac:dyDescent="0.35">
      <c r="A178" s="709" t="s">
        <v>448</v>
      </c>
      <c r="B178" s="571"/>
      <c r="C178" s="571"/>
      <c r="D178" s="571"/>
      <c r="E178" s="571"/>
      <c r="F178" s="571"/>
      <c r="G178" s="571"/>
      <c r="H178" s="571"/>
      <c r="I178" s="571"/>
      <c r="J178" s="571"/>
      <c r="K178" s="571"/>
    </row>
    <row customFormat="1" r="179" s="693" spans="1:11" x14ac:dyDescent="0.35">
      <c r="A179" s="571"/>
      <c r="B179" s="571"/>
      <c r="C179" s="571"/>
      <c r="D179" s="571"/>
      <c r="E179" s="571"/>
      <c r="F179" s="571"/>
      <c r="G179" s="571"/>
      <c r="H179" s="571"/>
      <c r="I179" s="571"/>
      <c r="J179" s="571"/>
      <c r="K179" s="571"/>
    </row>
    <row customFormat="1" r="180" s="693" spans="1:11" x14ac:dyDescent="0.35">
      <c r="A180" s="720" t="s">
        <v>449</v>
      </c>
      <c r="B180" s="721"/>
      <c r="C180" s="721"/>
      <c r="D180" s="721"/>
      <c r="E180" s="721"/>
      <c r="F180" s="721"/>
      <c r="G180" s="722" t="s">
        <v>335</v>
      </c>
      <c r="H180" s="722"/>
      <c r="I180" s="722" t="s">
        <v>450</v>
      </c>
      <c r="J180" s="722"/>
      <c r="K180" s="723" t="s">
        <v>451</v>
      </c>
    </row>
    <row customFormat="1" r="181" s="693" spans="1:11" x14ac:dyDescent="0.35">
      <c r="A181" s="715" t="s">
        <v>452</v>
      </c>
      <c r="B181" s="724"/>
      <c r="C181" s="724"/>
      <c r="D181" s="724"/>
      <c r="E181" s="724"/>
      <c r="F181" s="724"/>
      <c r="G181" s="716"/>
      <c r="H181" s="716"/>
      <c r="I181" s="716"/>
      <c r="J181" s="716"/>
      <c r="K181" s="725"/>
    </row>
    <row customFormat="1" r="182" s="693" spans="1:11" x14ac:dyDescent="0.35">
      <c r="A182" s="718" t="s">
        <v>453</v>
      </c>
      <c r="B182" s="726"/>
      <c r="C182" s="726"/>
      <c r="D182" s="726"/>
      <c r="E182" s="726"/>
      <c r="F182" s="726"/>
      <c r="G182" s="719"/>
      <c r="H182" s="719"/>
      <c r="I182" s="719"/>
      <c r="J182" s="719"/>
      <c r="K182" s="727"/>
    </row>
    <row customFormat="1" r="183" s="693" spans="1:11" x14ac:dyDescent="0.35">
      <c r="A183" s="715" t="s">
        <v>454</v>
      </c>
      <c r="B183" s="724"/>
      <c r="C183" s="724"/>
      <c r="D183" s="724"/>
      <c r="E183" s="724"/>
      <c r="F183" s="724"/>
      <c r="G183" s="716"/>
      <c r="H183" s="716"/>
      <c r="I183" s="716"/>
      <c r="J183" s="716"/>
      <c r="K183" s="725"/>
    </row>
    <row customFormat="1" r="184" s="693" spans="1:11" x14ac:dyDescent="0.35">
      <c r="A184" s="718" t="s">
        <v>455</v>
      </c>
      <c r="B184" s="726"/>
      <c r="C184" s="726"/>
      <c r="D184" s="726"/>
      <c r="E184" s="726"/>
      <c r="F184" s="726"/>
      <c r="G184" s="719"/>
      <c r="H184" s="719"/>
      <c r="I184" s="719"/>
      <c r="J184" s="719"/>
      <c r="K184" s="727"/>
    </row>
    <row customFormat="1" r="185" s="693" spans="1:11" x14ac:dyDescent="0.35">
      <c r="A185" s="720" t="s">
        <v>456</v>
      </c>
      <c r="B185" s="721"/>
      <c r="C185" s="721"/>
      <c r="D185" s="721"/>
      <c r="E185" s="721"/>
      <c r="F185" s="721"/>
      <c r="G185" s="722" t="s">
        <v>335</v>
      </c>
      <c r="H185" s="722"/>
      <c r="I185" s="722" t="s">
        <v>450</v>
      </c>
      <c r="J185" s="722"/>
      <c r="K185" s="723" t="s">
        <v>447</v>
      </c>
    </row>
    <row customFormat="1" r="186" s="693" spans="1:11" x14ac:dyDescent="0.35">
      <c r="A186" s="718" t="s">
        <v>457</v>
      </c>
      <c r="B186" s="726"/>
      <c r="C186" s="726"/>
      <c r="D186" s="726"/>
      <c r="E186" s="726"/>
      <c r="F186" s="726"/>
      <c r="G186" s="728"/>
      <c r="H186" s="728"/>
      <c r="I186" s="728"/>
      <c r="J186" s="728"/>
      <c r="K186" s="729"/>
    </row>
    <row customFormat="1" r="187" s="693" spans="1:11" x14ac:dyDescent="0.35">
      <c r="A187" s="715" t="s">
        <v>458</v>
      </c>
      <c r="B187" s="724"/>
      <c r="C187" s="724"/>
      <c r="D187" s="724"/>
      <c r="E187" s="724"/>
      <c r="F187" s="724"/>
      <c r="G187" s="717"/>
      <c r="H187" s="717"/>
      <c r="I187" s="717"/>
      <c r="J187" s="717"/>
      <c r="K187" s="730"/>
    </row>
    <row customFormat="1" r="188" s="693" spans="1:11" x14ac:dyDescent="0.35">
      <c r="A188" s="718" t="s">
        <v>459</v>
      </c>
      <c r="B188" s="726"/>
      <c r="C188" s="726"/>
      <c r="D188" s="726"/>
      <c r="E188" s="726"/>
      <c r="F188" s="726"/>
      <c r="G188" s="731"/>
      <c r="H188" s="731"/>
      <c r="I188" s="731"/>
      <c r="J188" s="731"/>
      <c r="K188" s="732"/>
    </row>
    <row customFormat="1" r="189" s="693" spans="1:11" x14ac:dyDescent="0.35">
      <c r="A189" s="715" t="s">
        <v>460</v>
      </c>
      <c r="B189" s="724"/>
      <c r="C189" s="724"/>
      <c r="D189" s="724"/>
      <c r="E189" s="724"/>
      <c r="F189" s="724"/>
      <c r="G189" s="733"/>
      <c r="H189" s="733"/>
      <c r="I189" s="733"/>
      <c r="J189" s="733"/>
      <c r="K189" s="734"/>
    </row>
    <row customFormat="1" r="190" s="693" spans="1:11" x14ac:dyDescent="0.35">
      <c r="A190" s="735" t="s">
        <v>461</v>
      </c>
      <c r="B190" s="736"/>
      <c r="C190" s="736"/>
      <c r="D190" s="736"/>
      <c r="E190" s="736"/>
      <c r="F190" s="736"/>
      <c r="G190" s="737"/>
      <c r="H190" s="737"/>
      <c r="I190" s="737"/>
      <c r="J190" s="737"/>
      <c r="K190" s="738"/>
    </row>
    <row customFormat="1" r="191" s="693" spans="1:11" x14ac:dyDescent="0.35">
      <c r="A191" s="571"/>
      <c r="B191" s="571"/>
      <c r="C191" s="571"/>
      <c r="D191" s="571"/>
      <c r="E191" s="571"/>
      <c r="F191" s="571"/>
      <c r="G191" s="571"/>
      <c r="H191" s="571"/>
      <c r="I191" s="571"/>
      <c r="J191" s="571"/>
      <c r="K191" s="571"/>
    </row>
    <row customFormat="1" r="192" s="693" spans="1:11" x14ac:dyDescent="0.35">
      <c r="A192" s="571"/>
      <c r="B192" s="571"/>
      <c r="C192" s="571"/>
      <c r="D192" s="571"/>
      <c r="E192" s="571"/>
      <c r="F192" s="571"/>
      <c r="G192" s="571"/>
      <c r="H192" s="571"/>
      <c r="I192" s="571"/>
      <c r="J192" s="571"/>
      <c r="K192" s="571"/>
    </row>
    <row customFormat="1" r="193" s="693" spans="1:11" x14ac:dyDescent="0.35">
      <c r="A193" s="571"/>
      <c r="B193" s="571"/>
      <c r="C193" s="571"/>
      <c r="D193" s="571"/>
      <c r="E193" s="571"/>
      <c r="F193" s="571"/>
      <c r="G193" s="571"/>
      <c r="H193" s="571"/>
      <c r="I193" s="571"/>
      <c r="J193" s="571"/>
      <c r="K193" s="571"/>
    </row>
    <row customFormat="1" r="194" s="693" spans="1:11" x14ac:dyDescent="0.35">
      <c r="A194" s="571"/>
      <c r="B194" s="571"/>
      <c r="C194" s="571"/>
      <c r="D194" s="571"/>
      <c r="E194" s="571"/>
      <c r="F194" s="571"/>
      <c r="G194" s="571"/>
      <c r="H194" s="571"/>
      <c r="I194" s="571"/>
      <c r="J194" s="571"/>
      <c r="K194" s="571"/>
    </row>
    <row customFormat="1" r="195" s="693" spans="1:11" x14ac:dyDescent="0.35">
      <c r="A195" s="571"/>
      <c r="B195" s="571"/>
      <c r="C195" s="571"/>
      <c r="D195" s="571"/>
      <c r="E195" s="571"/>
      <c r="F195" s="571"/>
      <c r="G195" s="571"/>
      <c r="H195" s="571"/>
      <c r="I195" s="571"/>
      <c r="J195" s="571"/>
      <c r="K195" s="571"/>
    </row>
    <row customFormat="1" ht="21" r="196" s="693" spans="1:11" x14ac:dyDescent="0.35">
      <c r="A196" s="694" t="s">
        <v>439</v>
      </c>
      <c r="B196" s="571"/>
      <c r="C196" s="571"/>
      <c r="D196" s="571"/>
      <c r="E196" s="571"/>
      <c r="F196" s="571"/>
      <c r="G196" s="571"/>
      <c r="H196" s="571"/>
      <c r="I196" s="571"/>
      <c r="J196" s="571"/>
      <c r="K196" s="571"/>
    </row>
    <row customFormat="1" r="197" s="693" spans="1:11" x14ac:dyDescent="0.35">
      <c r="A197" s="571"/>
      <c r="B197" s="571"/>
      <c r="C197" s="571"/>
      <c r="D197" s="571"/>
      <c r="E197" s="571"/>
      <c r="F197" s="571"/>
      <c r="G197" s="571"/>
      <c r="H197" s="571"/>
      <c r="I197" s="571"/>
      <c r="J197" s="571"/>
      <c r="K197" s="571"/>
    </row>
    <row customFormat="1" r="198" s="693" spans="1:11" x14ac:dyDescent="0.35">
      <c r="A198" s="739" t="s">
        <v>95</v>
      </c>
      <c r="B198" s="740"/>
      <c r="C198" s="740"/>
      <c r="D198" s="740"/>
      <c r="E198" s="741" t="s">
        <v>96</v>
      </c>
      <c r="F198" s="742" t="s">
        <v>97</v>
      </c>
      <c r="G198" s="742" t="s">
        <v>463</v>
      </c>
      <c r="H198" s="742" t="s">
        <v>464</v>
      </c>
      <c r="I198" s="742" t="s">
        <v>465</v>
      </c>
      <c r="J198" s="742" t="s">
        <v>466</v>
      </c>
      <c r="K198" s="742" t="s">
        <v>467</v>
      </c>
    </row>
    <row customFormat="1" r="199" s="693" spans="1:11" x14ac:dyDescent="0.35">
      <c r="A199" s="743" t="s">
        <v>4</v>
      </c>
      <c r="B199" s="744"/>
      <c r="C199" s="744"/>
      <c r="D199" s="744"/>
      <c r="E199" s="745" t="str">
        <f>'[1]Selected Comps'!C8</f>
        <v>{property.street_address}</v>
      </c>
      <c r="F199" s="746">
        <f>'[1]Selected Comps'!D8</f>
        <v>0</v>
      </c>
      <c r="G199" s="747">
        <f>'[1]Selected Comps'!E8</f>
        <v>0</v>
      </c>
      <c r="H199" s="747" t="str">
        <f>'[1]Selected Comps'!F8</f>
        <v>{hfor comp in comparables order_by similarity} {comp.street_address}</v>
      </c>
      <c r="I199" s="747">
        <f>'[1]Selected Comps'!G8</f>
        <v>0</v>
      </c>
      <c r="J199" s="747">
        <f>'[1]Selected Comps'!H8</f>
        <v>0</v>
      </c>
      <c r="K199" s="747">
        <f>'[1]Selected Comps'!I8</f>
        <v>0</v>
      </c>
    </row>
    <row customFormat="1" r="200" s="693" spans="1:11" x14ac:dyDescent="0.35">
      <c r="A200" s="748" t="s">
        <v>6</v>
      </c>
      <c r="B200" s="749"/>
      <c r="C200" s="749"/>
      <c r="D200" s="749"/>
      <c r="E200" s="750" t="str">
        <f>'[1]Selected Comps'!C9</f>
        <v>{property.city}, {property.state} {property.zip_code}</v>
      </c>
      <c r="F200" s="751">
        <f>'[1]Selected Comps'!D9</f>
        <v>0</v>
      </c>
      <c r="G200" s="752">
        <f>'[1]Selected Comps'!E9</f>
        <v>0</v>
      </c>
      <c r="H200" s="752" t="str">
        <f>'[1]Selected Comps'!F9</f>
        <v>{hfor comp in comparables order_by similarity} {comp.city}, {comp.state} {comp.zip_code}</v>
      </c>
      <c r="I200" s="752">
        <f>'[1]Selected Comps'!G9</f>
        <v>0</v>
      </c>
      <c r="J200" s="752">
        <f>'[1]Selected Comps'!H9</f>
        <v>0</v>
      </c>
      <c r="K200" s="753">
        <f>'[1]Selected Comps'!I9</f>
        <v>0</v>
      </c>
    </row>
    <row customFormat="1" customHeight="1" ht="12" r="201" s="693" spans="1:11" x14ac:dyDescent="0.35">
      <c r="A201" s="743" t="s">
        <v>2</v>
      </c>
      <c r="B201" s="744"/>
      <c r="C201" s="744"/>
      <c r="D201" s="744"/>
      <c r="E201" s="745" t="str">
        <f>'[1]Selected Comps'!C10</f>
        <v>{property.name}</v>
      </c>
      <c r="F201" s="754">
        <f>'[1]Selected Comps'!D10</f>
        <v>0</v>
      </c>
      <c r="G201" s="747">
        <f>'[1]Selected Comps'!E10</f>
        <v>0</v>
      </c>
      <c r="H201" s="747" t="str">
        <f>'[1]Selected Comps'!F10</f>
        <v>{hfor comp in comparables order_by similarity} {comp.name}</v>
      </c>
      <c r="I201" s="747">
        <f>'[1]Selected Comps'!G10</f>
        <v>0</v>
      </c>
      <c r="J201" s="747">
        <f>'[1]Selected Comps'!H10</f>
        <v>0</v>
      </c>
      <c r="K201" s="747">
        <f>'[1]Selected Comps'!I10</f>
        <v>0</v>
      </c>
    </row>
    <row customFormat="1" customHeight="1" ht="12" r="202" s="693" spans="1:11" x14ac:dyDescent="0.35">
      <c r="A202" s="748" t="s">
        <v>8</v>
      </c>
      <c r="B202" s="749"/>
      <c r="C202" s="749"/>
      <c r="D202" s="749"/>
      <c r="E202" s="750" t="str">
        <f>'[1]Selected Comps'!C11</f>
        <v>{property.property_type}</v>
      </c>
      <c r="F202" s="751">
        <f>'[1]Selected Comps'!D11</f>
        <v>0</v>
      </c>
      <c r="G202" s="753">
        <f>'[1]Selected Comps'!E11</f>
        <v>0</v>
      </c>
      <c r="H202" s="753" t="str">
        <f>'[1]Selected Comps'!F11</f>
        <v>{hfor comp in comparables order_by similarity} {comp.property_type}</v>
      </c>
      <c r="I202" s="753">
        <f>'[1]Selected Comps'!G11</f>
        <v>0</v>
      </c>
      <c r="J202" s="753">
        <f>'[1]Selected Comps'!H11</f>
        <v>0</v>
      </c>
      <c r="K202" s="753">
        <f>'[1]Selected Comps'!I11</f>
        <v>0</v>
      </c>
    </row>
    <row customFormat="1" customHeight="1" ht="12" r="203" s="693" spans="1:11" x14ac:dyDescent="0.35">
      <c r="A203" s="755" t="s">
        <v>10</v>
      </c>
      <c r="B203" s="756"/>
      <c r="C203" s="756"/>
      <c r="D203" s="756"/>
      <c r="E203" s="757" t="str">
        <f>'[1]Selected Comps'!C12</f>
        <v>{property.year_built}</v>
      </c>
      <c r="F203" s="758" t="str">
        <f>'[1]Selected Comps'!D12</f>
        <v/>
      </c>
      <c r="G203" s="759" t="str">
        <f>'[1]Selected Comps'!E12</f>
        <v/>
      </c>
      <c r="H203" s="760" t="str">
        <f>'[1]Selected Comps'!F12</f>
        <v>{hfor comp in comparables order_by similarity} {comp.year_built}</v>
      </c>
      <c r="I203" s="760">
        <f>'[1]Selected Comps'!G12</f>
        <v>0</v>
      </c>
      <c r="J203" s="760">
        <f>'[1]Selected Comps'!H12</f>
        <v>0</v>
      </c>
      <c r="K203" s="760">
        <f>'[1]Selected Comps'!I12</f>
        <v>0</v>
      </c>
    </row>
    <row customFormat="1" customHeight="1" ht="12" r="204" s="693" spans="1:11" x14ac:dyDescent="0.35">
      <c r="A204" s="761" t="s">
        <v>86</v>
      </c>
      <c r="B204" s="762"/>
      <c r="C204" s="762"/>
      <c r="D204" s="762"/>
      <c r="E204" s="763" t="str">
        <f>'[1]Selected Comps'!C13</f>
        <v>{property.number_units}</v>
      </c>
      <c r="F204" s="764" t="str">
        <f>'[1]Selected Comps'!D13</f>
        <v/>
      </c>
      <c r="G204" s="759" t="str">
        <f>'[1]Selected Comps'!E13</f>
        <v/>
      </c>
      <c r="H204" s="760" t="str">
        <f>'[1]Selected Comps'!F13</f>
        <v>{hfor comp in comparables order_by similarity} {comp.number_units}</v>
      </c>
      <c r="I204" s="760">
        <f>'[1]Selected Comps'!G13</f>
        <v>0</v>
      </c>
      <c r="J204" s="760">
        <f>'[1]Selected Comps'!H13</f>
        <v>0</v>
      </c>
      <c r="K204" s="760">
        <f>'[1]Selected Comps'!I13</f>
        <v>0</v>
      </c>
    </row>
    <row customFormat="1" customHeight="1" ht="12" r="205" s="693" spans="1:11" x14ac:dyDescent="0.35">
      <c r="A205" s="761" t="s">
        <v>14</v>
      </c>
      <c r="B205" s="762"/>
      <c r="C205" s="762"/>
      <c r="D205" s="762"/>
      <c r="E205" s="763" t="str">
        <f>'[1]Selected Comps'!C14</f>
        <v>{property.number_floors}</v>
      </c>
      <c r="F205" s="764" t="str">
        <f>'[1]Selected Comps'!D14</f>
        <v/>
      </c>
      <c r="G205" s="759" t="str">
        <f>'[1]Selected Comps'!E14</f>
        <v/>
      </c>
      <c r="H205" s="760" t="str">
        <f>'[1]Selected Comps'!F14</f>
        <v>{hfor comp in comparables order_by similarity} {comp.number_floors}</v>
      </c>
      <c r="I205" s="760">
        <f>'[1]Selected Comps'!G14</f>
        <v>0</v>
      </c>
      <c r="J205" s="760">
        <f>'[1]Selected Comps'!H14</f>
        <v>0</v>
      </c>
      <c r="K205" s="760">
        <f>'[1]Selected Comps'!I14</f>
        <v>0</v>
      </c>
    </row>
    <row customFormat="1" customHeight="1" ht="12" r="206" s="693" spans="1:11" x14ac:dyDescent="0.35">
      <c r="A206" s="748" t="s">
        <v>106</v>
      </c>
      <c r="B206" s="749"/>
      <c r="C206" s="749"/>
      <c r="D206" s="749"/>
      <c r="E206" s="750">
        <f>'[1]Selected Comps'!C15</f>
        <v>0</v>
      </c>
      <c r="F206" s="765" t="str">
        <f>'[1]Selected Comps'!D15</f>
        <v/>
      </c>
      <c r="G206" s="766">
        <f>'[1]Selected Comps'!E15</f>
        <v>0</v>
      </c>
      <c r="H206" s="767" t="str">
        <f>'[1]Selected Comps'!F15</f>
        <v>{hfor comp in comparables order_by similarity} {comp.distance}</v>
      </c>
      <c r="I206" s="767">
        <f>'[1]Selected Comps'!G15</f>
        <v>0</v>
      </c>
      <c r="J206" s="767">
        <f>'[1]Selected Comps'!H15</f>
        <v>0</v>
      </c>
      <c r="K206" s="767">
        <f>'[1]Selected Comps'!I15</f>
        <v>0</v>
      </c>
    </row>
    <row customFormat="1" customHeight="1" ht="12" r="207" s="693" spans="1:11" x14ac:dyDescent="0.35">
      <c r="A207" s="739" t="s">
        <v>108</v>
      </c>
      <c r="B207" s="740"/>
      <c r="C207" s="740"/>
      <c r="D207" s="740"/>
      <c r="E207" s="741"/>
      <c r="F207" s="742"/>
      <c r="G207" s="742"/>
      <c r="H207" s="742"/>
      <c r="I207" s="742"/>
      <c r="J207" s="742"/>
      <c r="K207" s="742"/>
    </row>
    <row customFormat="1" customHeight="1" ht="12" r="208" s="693" spans="1:11" x14ac:dyDescent="0.35">
      <c r="A208" s="755" t="s">
        <v>110</v>
      </c>
      <c r="B208" s="756"/>
      <c r="C208" s="756"/>
      <c r="D208" s="756"/>
      <c r="E208" s="757">
        <f>'[1]Selected Comps'!C17</f>
        <v>0</v>
      </c>
      <c r="F208" s="768" t="str">
        <f>'[1]Selected Comps'!D17</f>
        <v/>
      </c>
      <c r="G208" s="769">
        <f>'[1]Selected Comps'!E17</f>
        <v>0</v>
      </c>
      <c r="H208" s="769" t="str">
        <f>'[1]Selected Comps'!F17</f>
        <v>{hfor comp in comparables order_by similarity} {comp.similarity_breakdown.location}</v>
      </c>
      <c r="I208" s="769">
        <f>'[1]Selected Comps'!G17</f>
        <v>0</v>
      </c>
      <c r="J208" s="769">
        <f>'[1]Selected Comps'!H17</f>
        <v>0</v>
      </c>
      <c r="K208" s="769">
        <f>'[1]Selected Comps'!I17</f>
        <v>0</v>
      </c>
    </row>
    <row customFormat="1" customHeight="1" ht="12" r="209" s="693" spans="1:11" x14ac:dyDescent="0.35">
      <c r="A209" s="761" t="s">
        <v>112</v>
      </c>
      <c r="B209" s="762"/>
      <c r="C209" s="762"/>
      <c r="D209" s="762"/>
      <c r="E209" s="763">
        <f>'[1]Selected Comps'!C18</f>
        <v>0</v>
      </c>
      <c r="F209" s="768" t="str">
        <f>'[1]Selected Comps'!D18</f>
        <v/>
      </c>
      <c r="G209" s="769">
        <f>'[1]Selected Comps'!E18</f>
        <v>0</v>
      </c>
      <c r="H209" s="769" t="str">
        <f>'[1]Selected Comps'!F18</f>
        <v>{hfor comp in comparables order_by similarity} {comp.similarity_breakdown.year_built}</v>
      </c>
      <c r="I209" s="769">
        <f>'[1]Selected Comps'!G18</f>
        <v>0</v>
      </c>
      <c r="J209" s="769">
        <f>'[1]Selected Comps'!H18</f>
        <v>0</v>
      </c>
      <c r="K209" s="769">
        <f>'[1]Selected Comps'!I18</f>
        <v>0</v>
      </c>
    </row>
    <row customFormat="1" customHeight="1" ht="12" r="210" s="693" spans="1:11" x14ac:dyDescent="0.35">
      <c r="A210" s="761" t="s">
        <v>114</v>
      </c>
      <c r="B210" s="762"/>
      <c r="C210" s="762"/>
      <c r="D210" s="762"/>
      <c r="E210" s="763">
        <f>'[1]Selected Comps'!C19</f>
        <v>0</v>
      </c>
      <c r="F210" s="768" t="str">
        <f>'[1]Selected Comps'!D19</f>
        <v/>
      </c>
      <c r="G210" s="769">
        <f>'[1]Selected Comps'!E19</f>
        <v>0</v>
      </c>
      <c r="H210" s="769" t="str">
        <f>'[1]Selected Comps'!F19</f>
        <v>{hfor comp in comparables order_by similarity} {comp.similarity_breakdown.number_units}</v>
      </c>
      <c r="I210" s="769">
        <f>'[1]Selected Comps'!G19</f>
        <v>0</v>
      </c>
      <c r="J210" s="769">
        <f>'[1]Selected Comps'!H19</f>
        <v>0</v>
      </c>
      <c r="K210" s="769">
        <f>'[1]Selected Comps'!I19</f>
        <v>0</v>
      </c>
    </row>
    <row customFormat="1" customHeight="1" ht="12" r="211" s="693" spans="1:11" x14ac:dyDescent="0.35">
      <c r="A211" s="761" t="s">
        <v>116</v>
      </c>
      <c r="B211" s="762"/>
      <c r="C211" s="762"/>
      <c r="D211" s="762"/>
      <c r="E211" s="763">
        <f>'[1]Selected Comps'!C20</f>
        <v>0</v>
      </c>
      <c r="F211" s="768" t="str">
        <f>'[1]Selected Comps'!D20</f>
        <v/>
      </c>
      <c r="G211" s="769">
        <f>'[1]Selected Comps'!E20</f>
        <v>0</v>
      </c>
      <c r="H211" s="769" t="str">
        <f>'[1]Selected Comps'!F20</f>
        <v>{hfor comp in comparables order_by similarity} {comp.similarity_breakdown.community_amenities}</v>
      </c>
      <c r="I211" s="769">
        <f>'[1]Selected Comps'!G20</f>
        <v>0</v>
      </c>
      <c r="J211" s="769">
        <f>'[1]Selected Comps'!H20</f>
        <v>0</v>
      </c>
      <c r="K211" s="769">
        <f>'[1]Selected Comps'!I20</f>
        <v>0</v>
      </c>
    </row>
    <row customFormat="1" customHeight="1" ht="12" r="212" s="693" spans="1:11" x14ac:dyDescent="0.35">
      <c r="A212" s="761" t="s">
        <v>118</v>
      </c>
      <c r="B212" s="762"/>
      <c r="C212" s="762"/>
      <c r="D212" s="762"/>
      <c r="E212" s="763">
        <f>'[1]Selected Comps'!C21</f>
        <v>0</v>
      </c>
      <c r="F212" s="768" t="str">
        <f>'[1]Selected Comps'!D21</f>
        <v/>
      </c>
      <c r="G212" s="769">
        <f>'[1]Selected Comps'!E21</f>
        <v>0</v>
      </c>
      <c r="H212" s="769" t="str">
        <f>'[1]Selected Comps'!F21</f>
        <v>{hfor comp in comparables order_by similarity} {comp.similarity_breakdown.unit_types}</v>
      </c>
      <c r="I212" s="769">
        <f>'[1]Selected Comps'!G21</f>
        <v>0</v>
      </c>
      <c r="J212" s="769">
        <f>'[1]Selected Comps'!H21</f>
        <v>0</v>
      </c>
      <c r="K212" s="769">
        <f>'[1]Selected Comps'!I21</f>
        <v>0</v>
      </c>
    </row>
    <row customFormat="1" customHeight="1" ht="12" r="213" s="693" spans="1:11" x14ac:dyDescent="0.35">
      <c r="A213" s="748" t="s">
        <v>120</v>
      </c>
      <c r="B213" s="749"/>
      <c r="C213" s="749"/>
      <c r="D213" s="749"/>
      <c r="E213" s="750">
        <f>'[1]Selected Comps'!C22</f>
        <v>0</v>
      </c>
      <c r="F213" s="770" t="str">
        <f>'[1]Selected Comps'!D22</f>
        <v/>
      </c>
      <c r="G213" s="771">
        <f>'[1]Selected Comps'!E22</f>
        <v>0</v>
      </c>
      <c r="H213" s="771" t="str">
        <f>'[1]Selected Comps'!F22</f>
        <v>{hfor comp in comparables order_by similarity} {comp.similarity_breakdown.unit_features}</v>
      </c>
      <c r="I213" s="771">
        <f>'[1]Selected Comps'!G22</f>
        <v>0</v>
      </c>
      <c r="J213" s="771">
        <f>'[1]Selected Comps'!H22</f>
        <v>0</v>
      </c>
      <c r="K213" s="771">
        <f>'[1]Selected Comps'!I22</f>
        <v>0</v>
      </c>
    </row>
    <row customFormat="1" customHeight="1" ht="12" r="214" s="693" spans="1:11" x14ac:dyDescent="0.35">
      <c r="A214" s="772" t="s">
        <v>122</v>
      </c>
      <c r="B214" s="773"/>
      <c r="C214" s="773"/>
      <c r="D214" s="773"/>
      <c r="E214" s="774">
        <f>'[1]Selected Comps'!C23</f>
        <v>0</v>
      </c>
      <c r="F214" s="775" t="str">
        <f>'[1]Selected Comps'!D23</f>
        <v/>
      </c>
      <c r="G214" s="776">
        <f>'[1]Selected Comps'!E23</f>
        <v>0</v>
      </c>
      <c r="H214" s="776" t="str">
        <f>'[1]Selected Comps'!F23</f>
        <v>{hfor comp in comparables order_by similarity} {comp.similarity}</v>
      </c>
      <c r="I214" s="776">
        <f>'[1]Selected Comps'!G23</f>
        <v>0</v>
      </c>
      <c r="J214" s="776">
        <f>'[1]Selected Comps'!H23</f>
        <v>0</v>
      </c>
      <c r="K214" s="776">
        <f>'[1]Selected Comps'!I23</f>
        <v>0</v>
      </c>
    </row>
    <row customFormat="1" customHeight="1" ht="12" r="215" s="693" spans="1:11" x14ac:dyDescent="0.35">
      <c r="A215" s="739" t="s">
        <v>124</v>
      </c>
      <c r="B215" s="740"/>
      <c r="C215" s="740"/>
      <c r="D215" s="740"/>
      <c r="E215" s="741"/>
      <c r="F215" s="742"/>
      <c r="G215" s="742"/>
      <c r="H215" s="742"/>
      <c r="I215" s="742"/>
      <c r="J215" s="742"/>
      <c r="K215" s="742"/>
    </row>
    <row customFormat="1" customHeight="1" ht="12" r="216" s="693" spans="1:11" x14ac:dyDescent="0.35">
      <c r="A216" s="761" t="s">
        <v>468</v>
      </c>
      <c r="B216" s="777"/>
      <c r="C216" s="777"/>
      <c r="D216" s="777"/>
      <c r="E216" s="778" t="str">
        <f>'[1]Selected Comps'!C25</f>
        <v/>
      </c>
      <c r="F216" s="764" t="str">
        <f>'[1]Selected Comps'!D25</f>
        <v/>
      </c>
      <c r="G216" s="779" t="str">
        <f>'[1]Selected Comps'!E25</f>
        <v/>
      </c>
      <c r="H216" s="779" t="str">
        <f>'[1]Selected Comps'!F25</f>
        <v>{hfor comp in comparables order_by similarity} {comp.unit_mix[0].number_units}</v>
      </c>
      <c r="I216" s="779">
        <f>'[1]Selected Comps'!G25</f>
        <v>0</v>
      </c>
      <c r="J216" s="779">
        <f>'[1]Selected Comps'!H25</f>
        <v>0</v>
      </c>
      <c r="K216" s="780">
        <f>'[1]Selected Comps'!I25</f>
        <v>0</v>
      </c>
    </row>
    <row customFormat="1" customHeight="1" ht="12" r="217" s="693" spans="1:11" x14ac:dyDescent="0.35">
      <c r="A217" s="761" t="s">
        <v>127</v>
      </c>
      <c r="B217" s="777"/>
      <c r="C217" s="777"/>
      <c r="D217" s="777"/>
      <c r="E217" s="778" t="str">
        <f>'[1]Selected Comps'!C26</f>
        <v/>
      </c>
      <c r="F217" s="764" t="str">
        <f>'[1]Selected Comps'!D26</f>
        <v/>
      </c>
      <c r="G217" s="779" t="str">
        <f>'[1]Selected Comps'!E26</f>
        <v/>
      </c>
      <c r="H217" s="779" t="str">
        <f>'[1]Selected Comps'!F26</f>
        <v>{hfor comp in comparables order_by similarity} {comp.unit_mix[1].number_units}</v>
      </c>
      <c r="I217" s="779">
        <f>'[1]Selected Comps'!G26</f>
        <v>0</v>
      </c>
      <c r="J217" s="779">
        <f>'[1]Selected Comps'!H26</f>
        <v>0</v>
      </c>
      <c r="K217" s="780">
        <f>'[1]Selected Comps'!I26</f>
        <v>0</v>
      </c>
    </row>
    <row customFormat="1" customHeight="1" ht="12" r="218" s="693" spans="1:11" x14ac:dyDescent="0.35">
      <c r="A218" s="761" t="s">
        <v>129</v>
      </c>
      <c r="B218" s="777"/>
      <c r="C218" s="777"/>
      <c r="D218" s="777"/>
      <c r="E218" s="778" t="str">
        <f>'[1]Selected Comps'!C27</f>
        <v/>
      </c>
      <c r="F218" s="764" t="str">
        <f>'[1]Selected Comps'!D27</f>
        <v/>
      </c>
      <c r="G218" s="779" t="str">
        <f>'[1]Selected Comps'!E27</f>
        <v/>
      </c>
      <c r="H218" s="779" t="str">
        <f>'[1]Selected Comps'!F27</f>
        <v>{hfor comp in comparables order_by similarity} {comp.unit_mix[2].number_units}</v>
      </c>
      <c r="I218" s="779">
        <f>'[1]Selected Comps'!G27</f>
        <v>0</v>
      </c>
      <c r="J218" s="779">
        <f>'[1]Selected Comps'!H27</f>
        <v>0</v>
      </c>
      <c r="K218" s="780">
        <f>'[1]Selected Comps'!I27</f>
        <v>0</v>
      </c>
    </row>
    <row customFormat="1" customHeight="1" ht="12" r="219" s="693" spans="1:11" x14ac:dyDescent="0.35">
      <c r="A219" s="748" t="s">
        <v>131</v>
      </c>
      <c r="B219" s="781"/>
      <c r="C219" s="781"/>
      <c r="D219" s="781"/>
      <c r="E219" s="782" t="str">
        <f>'[1]Selected Comps'!C28</f>
        <v/>
      </c>
      <c r="F219" s="783" t="str">
        <f>'[1]Selected Comps'!D28</f>
        <v/>
      </c>
      <c r="G219" s="784" t="str">
        <f>'[1]Selected Comps'!E28</f>
        <v/>
      </c>
      <c r="H219" s="784" t="str">
        <f>'[1]Selected Comps'!F28</f>
        <v>{hfor comp in comparables order_by similarity} {comp.unit_mix[3].number_units}</v>
      </c>
      <c r="I219" s="784">
        <f>'[1]Selected Comps'!G28</f>
        <v>0</v>
      </c>
      <c r="J219" s="784">
        <f>'[1]Selected Comps'!H28</f>
        <v>0</v>
      </c>
      <c r="K219" s="785">
        <f>'[1]Selected Comps'!I28</f>
        <v>0</v>
      </c>
    </row>
    <row customFormat="1" customHeight="1" ht="12" r="220" s="693" spans="1:11" x14ac:dyDescent="0.35">
      <c r="A220" s="772" t="s">
        <v>54</v>
      </c>
      <c r="B220" s="777"/>
      <c r="C220" s="777"/>
      <c r="D220" s="777"/>
      <c r="E220" s="786" t="str">
        <f>'[1]Selected Comps'!C29</f>
        <v/>
      </c>
      <c r="F220" s="787" t="str">
        <f>'[1]Selected Comps'!D29</f>
        <v/>
      </c>
      <c r="G220" s="788" t="str">
        <f>'[1]Selected Comps'!E29</f>
        <v/>
      </c>
      <c r="H220" s="789" t="str">
        <f>'[1]Selected Comps'!F29</f>
        <v>{hfor comp in comparables order_by similarity} {comp.unit_mix[0].number_units}</v>
      </c>
      <c r="I220" s="789">
        <f>'[1]Selected Comps'!G29</f>
        <v>0</v>
      </c>
      <c r="J220" s="789">
        <f>'[1]Selected Comps'!H29</f>
        <v>0</v>
      </c>
      <c r="K220" s="788">
        <f>'[1]Selected Comps'!I29</f>
        <v>0</v>
      </c>
    </row>
    <row customFormat="1" customHeight="1" ht="12" r="221" s="693" spans="1:11" x14ac:dyDescent="0.35">
      <c r="A221" s="739" t="s">
        <v>136</v>
      </c>
      <c r="B221" s="740"/>
      <c r="C221" s="740"/>
      <c r="D221" s="740"/>
      <c r="E221" s="741"/>
      <c r="F221" s="742"/>
      <c r="G221" s="742"/>
      <c r="H221" s="742"/>
      <c r="I221" s="742"/>
      <c r="J221" s="742"/>
      <c r="K221" s="742"/>
    </row>
    <row customFormat="1" customHeight="1" ht="12" r="222" s="693" spans="1:11" x14ac:dyDescent="0.35">
      <c r="A222" s="761" t="s">
        <v>125</v>
      </c>
      <c r="B222" s="777"/>
      <c r="C222" s="777"/>
      <c r="D222" s="777"/>
      <c r="E222" s="778" t="str">
        <f>'[1]Selected Comps'!C31</f>
        <v/>
      </c>
      <c r="F222" s="764" t="str">
        <f>'[1]Selected Comps'!D31</f>
        <v/>
      </c>
      <c r="G222" s="779" t="str">
        <f>'[1]Selected Comps'!E31</f>
        <v/>
      </c>
      <c r="H222" s="779" t="str">
        <f>'[1]Selected Comps'!F31</f>
        <v>{hfor comp in comparables order_by similarity} {comp.unit_mix[0].sqft}</v>
      </c>
      <c r="I222" s="779">
        <f>'[1]Selected Comps'!G31</f>
        <v>0</v>
      </c>
      <c r="J222" s="779">
        <f>'[1]Selected Comps'!H31</f>
        <v>0</v>
      </c>
      <c r="K222" s="780">
        <f>'[1]Selected Comps'!I31</f>
        <v>0</v>
      </c>
    </row>
    <row customFormat="1" customHeight="1" ht="12" r="223" s="693" spans="1:11" x14ac:dyDescent="0.35">
      <c r="A223" s="761" t="s">
        <v>127</v>
      </c>
      <c r="B223" s="777"/>
      <c r="C223" s="777"/>
      <c r="D223" s="777"/>
      <c r="E223" s="778" t="str">
        <f>'[1]Selected Comps'!C32</f>
        <v/>
      </c>
      <c r="F223" s="764" t="str">
        <f>'[1]Selected Comps'!D32</f>
        <v/>
      </c>
      <c r="G223" s="779" t="str">
        <f>'[1]Selected Comps'!E32</f>
        <v/>
      </c>
      <c r="H223" s="779" t="str">
        <f>'[1]Selected Comps'!F32</f>
        <v>{hfor comp in comparables order_by similarity} {comp.unit_mix[1].sqft}</v>
      </c>
      <c r="I223" s="779">
        <f>'[1]Selected Comps'!G32</f>
        <v>0</v>
      </c>
      <c r="J223" s="779">
        <f>'[1]Selected Comps'!H32</f>
        <v>0</v>
      </c>
      <c r="K223" s="780">
        <f>'[1]Selected Comps'!I32</f>
        <v>0</v>
      </c>
    </row>
    <row customFormat="1" customHeight="1" ht="12" r="224" s="693" spans="1:11" x14ac:dyDescent="0.35">
      <c r="A224" s="761" t="s">
        <v>129</v>
      </c>
      <c r="B224" s="777"/>
      <c r="C224" s="777"/>
      <c r="D224" s="777"/>
      <c r="E224" s="778" t="str">
        <f>'[1]Selected Comps'!C33</f>
        <v/>
      </c>
      <c r="F224" s="764" t="str">
        <f>'[1]Selected Comps'!D33</f>
        <v/>
      </c>
      <c r="G224" s="779" t="str">
        <f>'[1]Selected Comps'!E33</f>
        <v/>
      </c>
      <c r="H224" s="779" t="str">
        <f>'[1]Selected Comps'!F33</f>
        <v>{hfor comp in comparables order_by similarity} {comp.unit_mix[2].sqft}</v>
      </c>
      <c r="I224" s="779">
        <f>'[1]Selected Comps'!G33</f>
        <v>0</v>
      </c>
      <c r="J224" s="779">
        <f>'[1]Selected Comps'!H33</f>
        <v>0</v>
      </c>
      <c r="K224" s="780">
        <f>'[1]Selected Comps'!I33</f>
        <v>0</v>
      </c>
    </row>
    <row customFormat="1" customHeight="1" ht="12" r="225" s="693" spans="1:11" x14ac:dyDescent="0.35">
      <c r="A225" s="761" t="s">
        <v>131</v>
      </c>
      <c r="B225" s="781"/>
      <c r="C225" s="781"/>
      <c r="D225" s="781"/>
      <c r="E225" s="790" t="str">
        <f>'[1]Selected Comps'!C34</f>
        <v/>
      </c>
      <c r="F225" s="764" t="str">
        <f>'[1]Selected Comps'!D34</f>
        <v/>
      </c>
      <c r="G225" s="779" t="str">
        <f>'[1]Selected Comps'!E34</f>
        <v/>
      </c>
      <c r="H225" s="779" t="str">
        <f>'[1]Selected Comps'!F34</f>
        <v>{hfor comp in comparables order_by similarity} {comp.unit_mix[3].sqft}</v>
      </c>
      <c r="I225" s="779">
        <f>'[1]Selected Comps'!G34</f>
        <v>0</v>
      </c>
      <c r="J225" s="779">
        <f>'[1]Selected Comps'!H34</f>
        <v>0</v>
      </c>
      <c r="K225" s="780">
        <f>'[1]Selected Comps'!I34</f>
        <v>0</v>
      </c>
    </row>
    <row customFormat="1" customHeight="1" ht="12" r="226" s="693" spans="1:11" x14ac:dyDescent="0.35">
      <c r="A226" s="772" t="s">
        <v>55</v>
      </c>
      <c r="B226" s="777"/>
      <c r="C226" s="777"/>
      <c r="D226" s="777"/>
      <c r="E226" s="786" t="str">
        <f>'[1]Selected Comps'!C35</f>
        <v/>
      </c>
      <c r="F226" s="787" t="str">
        <f>'[1]Selected Comps'!D35</f>
        <v/>
      </c>
      <c r="G226" s="788" t="str">
        <f>'[1]Selected Comps'!E35</f>
        <v/>
      </c>
      <c r="H226" s="791" t="str">
        <f>'[1]Selected Comps'!F35</f>
        <v>{hfor comp in comparables order_by similarity} {comp.unit_mix_totals.average_sqft}</v>
      </c>
      <c r="I226" s="791">
        <f>'[1]Selected Comps'!G35</f>
        <v>0</v>
      </c>
      <c r="J226" s="791">
        <f>'[1]Selected Comps'!H35</f>
        <v>0</v>
      </c>
      <c r="K226" s="791">
        <f>'[1]Selected Comps'!I35</f>
        <v>0</v>
      </c>
    </row>
    <row customFormat="1" customHeight="1" ht="12" r="227" s="693" spans="1:11" x14ac:dyDescent="0.35">
      <c r="A227" s="739" t="s">
        <v>142</v>
      </c>
      <c r="B227" s="740"/>
      <c r="C227" s="740"/>
      <c r="D227" s="740"/>
      <c r="E227" s="741"/>
      <c r="F227" s="742"/>
      <c r="G227" s="742"/>
      <c r="H227" s="742"/>
      <c r="I227" s="742"/>
      <c r="J227" s="742"/>
      <c r="K227" s="742"/>
    </row>
    <row customFormat="1" customHeight="1" ht="12" r="228" s="693" spans="1:11" x14ac:dyDescent="0.35">
      <c r="A228" s="761" t="s">
        <v>125</v>
      </c>
      <c r="B228" s="792"/>
      <c r="C228" s="792"/>
      <c r="D228" s="792"/>
      <c r="E228" s="793" t="str">
        <f>'[1]Selected Comps'!C37</f>
        <v/>
      </c>
      <c r="F228" s="794" t="str">
        <f>'[1]Selected Comps'!D37</f>
        <v/>
      </c>
      <c r="G228" s="795" t="str">
        <f>'[1]Selected Comps'!E37</f>
        <v/>
      </c>
      <c r="H228" s="795" t="str">
        <f>'[1]Selected Comps'!F37</f>
        <v>{hfor comp in comparables order_by similarity} {comp.unit_mix[0].market_rent}</v>
      </c>
      <c r="I228" s="795">
        <f>'[1]Selected Comps'!G37</f>
        <v>0</v>
      </c>
      <c r="J228" s="795">
        <f>'[1]Selected Comps'!H37</f>
        <v>0</v>
      </c>
      <c r="K228" s="759">
        <f>'[1]Selected Comps'!I37</f>
        <v>0</v>
      </c>
    </row>
    <row customFormat="1" customHeight="1" ht="12" r="229" s="693" spans="1:11" x14ac:dyDescent="0.35">
      <c r="A229" s="761" t="s">
        <v>127</v>
      </c>
      <c r="B229" s="777"/>
      <c r="C229" s="777"/>
      <c r="D229" s="777"/>
      <c r="E229" s="793" t="str">
        <f>'[1]Selected Comps'!C38</f>
        <v/>
      </c>
      <c r="F229" s="794" t="str">
        <f>'[1]Selected Comps'!D38</f>
        <v/>
      </c>
      <c r="G229" s="796" t="str">
        <f>'[1]Selected Comps'!E38</f>
        <v/>
      </c>
      <c r="H229" s="796" t="str">
        <f>'[1]Selected Comps'!F38</f>
        <v>{hfor comp in comparables order_by similarity} {comp.unit_mix[1].market_rent}</v>
      </c>
      <c r="I229" s="796">
        <f>'[1]Selected Comps'!G38</f>
        <v>0</v>
      </c>
      <c r="J229" s="796">
        <f>'[1]Selected Comps'!H38</f>
        <v>0</v>
      </c>
      <c r="K229" s="797">
        <f>'[1]Selected Comps'!I38</f>
        <v>0</v>
      </c>
    </row>
    <row customFormat="1" customHeight="1" ht="12" r="230" s="693" spans="1:11" x14ac:dyDescent="0.35">
      <c r="A230" s="761" t="s">
        <v>129</v>
      </c>
      <c r="B230" s="777"/>
      <c r="C230" s="777"/>
      <c r="D230" s="777"/>
      <c r="E230" s="793" t="str">
        <f>'[1]Selected Comps'!C39</f>
        <v/>
      </c>
      <c r="F230" s="794" t="str">
        <f>'[1]Selected Comps'!D39</f>
        <v/>
      </c>
      <c r="G230" s="796" t="str">
        <f>'[1]Selected Comps'!E39</f>
        <v/>
      </c>
      <c r="H230" s="796" t="str">
        <f>'[1]Selected Comps'!F39</f>
        <v>{hfor comp in comparables order_by similarity} {comp.unit_mix[2].market_rent}</v>
      </c>
      <c r="I230" s="796">
        <f>'[1]Selected Comps'!G39</f>
        <v>0</v>
      </c>
      <c r="J230" s="796">
        <f>'[1]Selected Comps'!H39</f>
        <v>0</v>
      </c>
      <c r="K230" s="797">
        <f>'[1]Selected Comps'!I39</f>
        <v>0</v>
      </c>
    </row>
    <row customFormat="1" customHeight="1" ht="12" r="231" s="693" spans="1:11" x14ac:dyDescent="0.35">
      <c r="A231" s="761" t="s">
        <v>131</v>
      </c>
      <c r="B231" s="781"/>
      <c r="C231" s="781"/>
      <c r="D231" s="781"/>
      <c r="E231" s="793" t="str">
        <f>'[1]Selected Comps'!C40</f>
        <v/>
      </c>
      <c r="F231" s="794" t="str">
        <f>'[1]Selected Comps'!D40</f>
        <v/>
      </c>
      <c r="G231" s="796" t="str">
        <f>'[1]Selected Comps'!E40</f>
        <v/>
      </c>
      <c r="H231" s="798" t="str">
        <f>'[1]Selected Comps'!F40</f>
        <v>{hfor comp in comparables order_by similarity} {comp.unit_mix[3].market_rent}</v>
      </c>
      <c r="I231" s="796">
        <f>'[1]Selected Comps'!G40</f>
        <v>0</v>
      </c>
      <c r="J231" s="798">
        <f>'[1]Selected Comps'!H40</f>
        <v>0</v>
      </c>
      <c r="K231" s="797">
        <f>'[1]Selected Comps'!I40</f>
        <v>0</v>
      </c>
    </row>
    <row customFormat="1" customHeight="1" ht="12" r="232" s="693" spans="1:11" x14ac:dyDescent="0.35">
      <c r="A232" s="772" t="s">
        <v>55</v>
      </c>
      <c r="B232" s="777"/>
      <c r="C232" s="777"/>
      <c r="D232" s="777"/>
      <c r="E232" s="799" t="str">
        <f>'[1]Selected Comps'!C41</f>
        <v/>
      </c>
      <c r="F232" s="800" t="str">
        <f>'[1]Selected Comps'!D41</f>
        <v/>
      </c>
      <c r="G232" s="801" t="str">
        <f>'[1]Selected Comps'!E41</f>
        <v/>
      </c>
      <c r="H232" s="801" t="str">
        <f>'[1]Selected Comps'!F41</f>
        <v>{hfor comp in comparables order_by similarity}</v>
      </c>
      <c r="I232" s="801">
        <f>'[1]Selected Comps'!G41</f>
        <v>0</v>
      </c>
      <c r="J232" s="801">
        <f>'[1]Selected Comps'!H41</f>
        <v>0</v>
      </c>
      <c r="K232" s="802">
        <f>'[1]Selected Comps'!I41</f>
        <v>0</v>
      </c>
    </row>
    <row customFormat="1" customHeight="1" ht="12" r="233" s="693" spans="1:11" x14ac:dyDescent="0.35">
      <c r="A233" s="739" t="s">
        <v>148</v>
      </c>
      <c r="B233" s="740"/>
      <c r="C233" s="740"/>
      <c r="D233" s="740"/>
      <c r="E233" s="741"/>
      <c r="F233" s="742"/>
      <c r="G233" s="742"/>
      <c r="H233" s="742"/>
      <c r="I233" s="742"/>
      <c r="J233" s="742"/>
      <c r="K233" s="742"/>
    </row>
    <row customFormat="1" customHeight="1" ht="12" r="234" s="693" spans="1:11" x14ac:dyDescent="0.35">
      <c r="A234" s="761" t="s">
        <v>125</v>
      </c>
      <c r="B234" s="777"/>
      <c r="C234" s="777"/>
      <c r="D234" s="777"/>
      <c r="E234" s="803" t="str">
        <f>'[1]Selected Comps'!C43</f>
        <v/>
      </c>
      <c r="F234" s="804" t="str">
        <f>'[1]Selected Comps'!D43</f>
        <v/>
      </c>
      <c r="G234" s="805" t="str">
        <f>'[1]Selected Comps'!E43</f>
        <v/>
      </c>
      <c r="H234" s="805" t="str">
        <f>'[1]Selected Comps'!F43</f>
        <v>{hfor comp in comparables order_by similarity} {comp.unit_mix[0].market_rent_sqft}</v>
      </c>
      <c r="I234" s="805">
        <f>'[1]Selected Comps'!G43</f>
        <v>0</v>
      </c>
      <c r="J234" s="805">
        <f>'[1]Selected Comps'!H43</f>
        <v>0</v>
      </c>
      <c r="K234" s="806">
        <f>'[1]Selected Comps'!I43</f>
        <v>0</v>
      </c>
    </row>
    <row customFormat="1" customHeight="1" ht="12" r="235" s="693" spans="1:11" x14ac:dyDescent="0.35">
      <c r="A235" s="761" t="s">
        <v>127</v>
      </c>
      <c r="B235" s="777"/>
      <c r="C235" s="777"/>
      <c r="D235" s="777"/>
      <c r="E235" s="803" t="str">
        <f>'[1]Selected Comps'!C44</f>
        <v/>
      </c>
      <c r="F235" s="804" t="str">
        <f>'[1]Selected Comps'!D44</f>
        <v/>
      </c>
      <c r="G235" s="805" t="str">
        <f>'[1]Selected Comps'!E44</f>
        <v/>
      </c>
      <c r="H235" s="805" t="str">
        <f>'[1]Selected Comps'!F44</f>
        <v>{hfor comp in comparables order_by similarity} {comp.unit_mix[1].market_rent_sqft}</v>
      </c>
      <c r="I235" s="805">
        <f>'[1]Selected Comps'!G44</f>
        <v>0</v>
      </c>
      <c r="J235" s="805">
        <f>'[1]Selected Comps'!H44</f>
        <v>0</v>
      </c>
      <c r="K235" s="806">
        <f>'[1]Selected Comps'!I44</f>
        <v>0</v>
      </c>
    </row>
    <row customFormat="1" customHeight="1" ht="12" r="236" s="693" spans="1:11" x14ac:dyDescent="0.35">
      <c r="A236" s="761" t="s">
        <v>129</v>
      </c>
      <c r="B236" s="777"/>
      <c r="C236" s="777"/>
      <c r="D236" s="777"/>
      <c r="E236" s="803" t="str">
        <f>'[1]Selected Comps'!C45</f>
        <v/>
      </c>
      <c r="F236" s="804" t="str">
        <f>'[1]Selected Comps'!D45</f>
        <v/>
      </c>
      <c r="G236" s="805" t="str">
        <f>'[1]Selected Comps'!E45</f>
        <v/>
      </c>
      <c r="H236" s="805" t="str">
        <f>'[1]Selected Comps'!F45</f>
        <v>{hfor comp in comparables order_by similarity} {comp.unit_mix[2].market_rent_sqft}</v>
      </c>
      <c r="I236" s="805">
        <f>'[1]Selected Comps'!G45</f>
        <v>0</v>
      </c>
      <c r="J236" s="805">
        <f>'[1]Selected Comps'!H45</f>
        <v>0</v>
      </c>
      <c r="K236" s="806">
        <f>'[1]Selected Comps'!I45</f>
        <v>0</v>
      </c>
    </row>
    <row customFormat="1" r="237" s="693" spans="1:11" x14ac:dyDescent="0.35">
      <c r="A237" s="761" t="s">
        <v>131</v>
      </c>
      <c r="B237" s="777"/>
      <c r="C237" s="777"/>
      <c r="D237" s="777"/>
      <c r="E237" s="803" t="str">
        <f>'[1]Selected Comps'!C46</f>
        <v/>
      </c>
      <c r="F237" s="804" t="str">
        <f>'[1]Selected Comps'!D46</f>
        <v/>
      </c>
      <c r="G237" s="805" t="str">
        <f>'[1]Selected Comps'!E46</f>
        <v/>
      </c>
      <c r="H237" s="805" t="str">
        <f>'[1]Selected Comps'!F46</f>
        <v>{hfor comp in comparables order_by similarity} {comp.unit_mix[3].market_rent_sqft}</v>
      </c>
      <c r="I237" s="805">
        <f>'[1]Selected Comps'!G46</f>
        <v>0</v>
      </c>
      <c r="J237" s="805">
        <f>'[1]Selected Comps'!H46</f>
        <v>0</v>
      </c>
      <c r="K237" s="806">
        <f>'[1]Selected Comps'!I46</f>
        <v>0</v>
      </c>
    </row>
    <row customFormat="1" r="238" s="693" spans="1:11" x14ac:dyDescent="0.35">
      <c r="A238" s="772" t="s">
        <v>55</v>
      </c>
      <c r="B238" s="807"/>
      <c r="C238" s="807"/>
      <c r="D238" s="807"/>
      <c r="E238" s="808" t="str">
        <f>'[1]Selected Comps'!C47</f>
        <v/>
      </c>
      <c r="F238" s="809" t="str">
        <f>'[1]Selected Comps'!D47</f>
        <v/>
      </c>
      <c r="G238" s="810" t="str">
        <f>'[1]Selected Comps'!E47</f>
        <v/>
      </c>
      <c r="H238" s="810" t="str">
        <f>'[1]Selected Comps'!F47</f>
        <v>{hfor comp in comparables order_by similarity}</v>
      </c>
      <c r="I238" s="810">
        <f>'[1]Selected Comps'!G47</f>
        <v>0</v>
      </c>
      <c r="J238" s="810">
        <f>'[1]Selected Comps'!H47</f>
        <v>0</v>
      </c>
      <c r="K238" s="811">
        <f>'[1]Selected Comps'!I47</f>
        <v>0</v>
      </c>
    </row>
    <row customFormat="1" r="239" s="693" spans="1:11" x14ac:dyDescent="0.35">
      <c r="A239" s="571"/>
      <c r="B239" s="571"/>
      <c r="C239" s="571"/>
      <c r="D239" s="571"/>
      <c r="E239" s="571"/>
      <c r="F239" s="571"/>
      <c r="G239" s="571"/>
      <c r="H239" s="571"/>
      <c r="I239" s="571"/>
      <c r="J239" s="571"/>
      <c r="K239" s="571"/>
    </row>
    <row customFormat="1" r="240" s="704" spans="1:11" x14ac:dyDescent="0.35">
      <c r="A240" s="505"/>
      <c r="B240" s="505"/>
      <c r="C240" s="505"/>
      <c r="D240" s="505"/>
      <c r="E240" s="505"/>
      <c r="F240" s="505"/>
      <c r="G240" s="505"/>
      <c r="H240" s="505"/>
      <c r="I240" s="505"/>
      <c r="J240" s="505"/>
      <c r="K240" s="505"/>
    </row>
    <row customFormat="1" ht="21" r="241" s="693" spans="1:11" x14ac:dyDescent="0.35">
      <c r="A241" s="694" t="s">
        <v>469</v>
      </c>
      <c r="B241" s="571"/>
      <c r="C241" s="571"/>
      <c r="D241" s="571"/>
      <c r="E241" s="571"/>
      <c r="F241" s="571"/>
      <c r="G241" s="571"/>
      <c r="H241" s="571"/>
      <c r="I241" s="571"/>
      <c r="J241" s="571"/>
      <c r="K241" s="571"/>
    </row>
    <row customFormat="1" r="242" s="693" spans="1:11" x14ac:dyDescent="0.35">
      <c r="A242" s="571"/>
      <c r="B242" s="571"/>
      <c r="C242" s="571"/>
      <c r="D242" s="571"/>
      <c r="E242" s="571"/>
      <c r="F242" s="571"/>
      <c r="G242" s="571"/>
      <c r="H242" s="571"/>
      <c r="I242" s="571"/>
      <c r="J242" s="571"/>
      <c r="K242" s="571"/>
    </row>
    <row customFormat="1" customHeight="1" ht="14.5" r="243" s="693" spans="1:11" x14ac:dyDescent="0.35">
      <c r="A243" s="812" t="s">
        <v>33</v>
      </c>
      <c r="B243" s="813"/>
      <c r="C243" s="814"/>
      <c r="D243" s="815"/>
      <c r="E243" s="815"/>
      <c r="F243" s="815"/>
      <c r="G243" s="815"/>
      <c r="H243" s="815"/>
      <c r="I243" s="815"/>
      <c r="J243" s="815"/>
      <c r="K243" s="816"/>
    </row>
    <row customFormat="1" customHeight="1" ht="14.5" r="244" s="693" spans="1:11" x14ac:dyDescent="0.35">
      <c r="A244" s="817" t="s">
        <v>470</v>
      </c>
      <c r="B244" s="818"/>
      <c r="C244" s="819"/>
      <c r="D244" s="820" t="s">
        <v>35</v>
      </c>
      <c r="E244" s="821"/>
      <c r="F244" s="822" t="s">
        <v>36</v>
      </c>
      <c r="G244" s="823"/>
      <c r="H244" s="824" t="s">
        <v>37</v>
      </c>
      <c r="I244" s="825"/>
      <c r="J244" s="826" t="s">
        <v>38</v>
      </c>
      <c r="K244" s="827"/>
    </row>
    <row customFormat="1" customHeight="1" ht="14.5" r="245" s="693" spans="1:11" x14ac:dyDescent="0.35">
      <c r="A245" s="828" t="s">
        <v>39</v>
      </c>
      <c r="B245" s="829" t="s">
        <v>40</v>
      </c>
      <c r="C245" s="830" t="s">
        <v>86</v>
      </c>
      <c r="D245" s="830" t="s">
        <v>45</v>
      </c>
      <c r="E245" s="830" t="s">
        <v>46</v>
      </c>
      <c r="F245" s="830" t="s">
        <v>45</v>
      </c>
      <c r="G245" s="830" t="s">
        <v>46</v>
      </c>
      <c r="H245" s="830" t="s">
        <v>45</v>
      </c>
      <c r="I245" s="830" t="s">
        <v>46</v>
      </c>
      <c r="J245" s="830" t="s">
        <v>45</v>
      </c>
      <c r="K245" s="830" t="s">
        <v>46</v>
      </c>
    </row>
    <row customFormat="1" customHeight="1" ht="14.5" r="246" s="693" spans="1:11" x14ac:dyDescent="0.35">
      <c r="A246" s="755"/>
      <c r="B246" s="831"/>
      <c r="C246" s="832"/>
      <c r="D246" s="796"/>
      <c r="E246" s="806"/>
      <c r="F246" s="796"/>
      <c r="G246" s="806"/>
      <c r="H246" s="797"/>
      <c r="I246" s="806"/>
      <c r="J246" s="806"/>
      <c r="K246" s="806"/>
    </row>
    <row customFormat="1" customHeight="1" ht="14.5" r="247" s="693" spans="1:11" x14ac:dyDescent="0.35">
      <c r="A247" s="761"/>
      <c r="B247" s="833"/>
      <c r="C247" s="834"/>
      <c r="D247" s="796"/>
      <c r="E247" s="806"/>
      <c r="F247" s="796"/>
      <c r="G247" s="806"/>
      <c r="H247" s="797"/>
      <c r="I247" s="806"/>
      <c r="J247" s="806"/>
      <c r="K247" s="806"/>
    </row>
    <row customFormat="1" customHeight="1" ht="14.5" r="248" s="693" spans="1:11" x14ac:dyDescent="0.35">
      <c r="A248" s="761"/>
      <c r="B248" s="833"/>
      <c r="C248" s="834"/>
      <c r="D248" s="796"/>
      <c r="E248" s="806"/>
      <c r="F248" s="796"/>
      <c r="G248" s="806"/>
      <c r="H248" s="797"/>
      <c r="I248" s="806"/>
      <c r="J248" s="806"/>
      <c r="K248" s="806"/>
    </row>
    <row customFormat="1" customHeight="1" ht="14.5" r="249" s="693" spans="1:11" x14ac:dyDescent="0.35">
      <c r="A249" s="748"/>
      <c r="B249" s="835"/>
      <c r="C249" s="836"/>
      <c r="D249" s="837"/>
      <c r="E249" s="838"/>
      <c r="F249" s="837"/>
      <c r="G249" s="838"/>
      <c r="H249" s="839"/>
      <c r="I249" s="838"/>
      <c r="J249" s="838"/>
      <c r="K249" s="838"/>
    </row>
    <row customFormat="1" customHeight="1" ht="14.5" r="250" s="693" spans="1:11" x14ac:dyDescent="0.35">
      <c r="A250" s="840"/>
      <c r="B250" s="841"/>
      <c r="C250" s="842"/>
      <c r="D250" s="843"/>
      <c r="E250" s="844"/>
      <c r="F250" s="843"/>
      <c r="G250" s="844"/>
      <c r="H250" s="843"/>
      <c r="I250" s="844"/>
      <c r="J250" s="843"/>
      <c r="K250" s="844"/>
    </row>
    <row customFormat="1" customHeight="1" ht="14.5" r="251" s="693" spans="1:11" x14ac:dyDescent="0.35">
      <c r="A251" s="845"/>
      <c r="B251" s="846"/>
      <c r="C251" s="847"/>
      <c r="D251" s="848"/>
      <c r="E251" s="849"/>
      <c r="F251" s="848"/>
      <c r="G251" s="849"/>
      <c r="H251" s="848"/>
      <c r="I251" s="849"/>
      <c r="J251" s="848"/>
      <c r="K251" s="849"/>
    </row>
    <row customFormat="1" customHeight="1" ht="14.5" r="252" s="693" spans="1:11" x14ac:dyDescent="0.35">
      <c r="A252" s="683"/>
      <c r="B252" s="683"/>
      <c r="C252" s="683"/>
      <c r="D252" s="683"/>
      <c r="E252" s="683"/>
      <c r="F252" s="683"/>
      <c r="G252" s="683"/>
      <c r="H252" s="683"/>
      <c r="I252" s="683"/>
      <c r="J252" s="683"/>
      <c r="K252" s="683"/>
    </row>
    <row customFormat="1" customHeight="1" ht="14.5" r="253" s="693" spans="1:11" x14ac:dyDescent="0.35">
      <c r="A253" s="571"/>
      <c r="B253" s="571"/>
      <c r="C253" s="571"/>
      <c r="D253" s="571"/>
      <c r="E253" s="571"/>
      <c r="F253" s="571"/>
      <c r="G253" s="571"/>
      <c r="H253" s="571"/>
      <c r="I253" s="571"/>
      <c r="J253" s="571"/>
      <c r="K253" s="571"/>
    </row>
    <row customFormat="1" customHeight="1" ht="14.5" r="254" s="693" spans="1:11" x14ac:dyDescent="0.35">
      <c r="A254" s="694" t="s">
        <v>78</v>
      </c>
      <c r="B254" s="571"/>
      <c r="C254" s="571"/>
      <c r="D254" s="571"/>
      <c r="E254" s="571"/>
      <c r="F254" s="571"/>
      <c r="G254" s="571"/>
      <c r="H254" s="571"/>
      <c r="I254" s="571"/>
      <c r="J254" s="571"/>
      <c r="K254" s="571"/>
    </row>
    <row customFormat="1" customHeight="1" ht="14.5" r="255" s="693" spans="1:11" x14ac:dyDescent="0.35">
      <c r="A255" s="571"/>
      <c r="B255" s="571"/>
      <c r="C255" s="571"/>
      <c r="D255" s="571"/>
      <c r="E255" s="571"/>
      <c r="F255" s="571"/>
      <c r="G255" s="571"/>
      <c r="H255" s="571"/>
      <c r="I255" s="571"/>
      <c r="J255" s="571"/>
      <c r="K255" s="571"/>
    </row>
    <row customFormat="1" customHeight="1" ht="14.5" r="256" s="693" spans="1:11" x14ac:dyDescent="0.35">
      <c r="A256" s="571"/>
      <c r="B256" s="571"/>
      <c r="C256" s="571"/>
      <c r="D256" s="571"/>
      <c r="E256" s="571"/>
      <c r="F256" s="571"/>
      <c r="G256" s="571"/>
      <c r="H256" s="571"/>
      <c r="I256" s="571"/>
      <c r="J256" s="571"/>
      <c r="K256" s="571"/>
    </row>
    <row customFormat="1" customHeight="1" ht="14.5" r="257" s="693" spans="1:11" x14ac:dyDescent="0.35">
      <c r="A257" s="571"/>
      <c r="B257" s="571"/>
      <c r="C257" s="571"/>
      <c r="D257" s="571"/>
      <c r="E257" s="571"/>
      <c r="F257" s="571"/>
      <c r="G257" s="571"/>
      <c r="H257" s="571"/>
      <c r="I257" s="571"/>
      <c r="J257" s="571"/>
      <c r="K257" s="571"/>
    </row>
    <row customFormat="1" ht="21" r="258" s="693" spans="1:11" x14ac:dyDescent="0.35">
      <c r="A258" s="694" t="s">
        <v>375</v>
      </c>
      <c r="B258" s="571"/>
      <c r="C258" s="571"/>
      <c r="D258" s="571"/>
      <c r="E258" s="571"/>
      <c r="F258" s="571"/>
      <c r="G258" s="571"/>
      <c r="H258" s="571"/>
      <c r="I258" s="571"/>
      <c r="J258" s="571"/>
      <c r="K258" s="571"/>
    </row>
    <row customFormat="1" r="259" s="693" spans="1:11" x14ac:dyDescent="0.35">
      <c r="A259" s="571"/>
      <c r="B259" s="571"/>
      <c r="C259" s="571"/>
      <c r="D259" s="571"/>
      <c r="E259" s="571"/>
      <c r="F259" s="571"/>
      <c r="G259" s="571"/>
      <c r="H259" s="571"/>
      <c r="I259" s="571"/>
      <c r="J259" s="571"/>
      <c r="K259" s="571"/>
    </row>
    <row customFormat="1" r="260" s="704" spans="1:11" x14ac:dyDescent="0.35">
      <c r="A260" s="850" t="s">
        <v>22</v>
      </c>
      <c r="B260" s="851"/>
      <c r="C260" s="851"/>
      <c r="D260" s="851"/>
      <c r="E260" s="851"/>
      <c r="F260" s="852"/>
      <c r="G260" s="851"/>
      <c r="H260" s="852"/>
      <c r="I260" s="851"/>
      <c r="J260" s="852"/>
      <c r="K260" s="853"/>
    </row>
    <row customFormat="1" r="261" s="704" spans="1:11" x14ac:dyDescent="0.35">
      <c r="A261" s="854" t="s">
        <v>23</v>
      </c>
      <c r="B261" s="855"/>
      <c r="C261" s="855"/>
      <c r="D261" s="855"/>
      <c r="E261" s="855" t="s">
        <v>24</v>
      </c>
      <c r="F261" s="856"/>
      <c r="G261" s="855" t="s">
        <v>25</v>
      </c>
      <c r="H261" s="856"/>
      <c r="I261" s="855" t="s">
        <v>471</v>
      </c>
      <c r="J261" s="856"/>
      <c r="K261" s="857" t="s">
        <v>26</v>
      </c>
    </row>
    <row customFormat="1" r="262" s="704" spans="1:11" x14ac:dyDescent="0.35">
      <c r="A262" s="858" t="s">
        <v>27</v>
      </c>
      <c r="B262" s="859"/>
      <c r="C262" s="505"/>
      <c r="D262" s="505"/>
      <c r="E262" s="859" t="str">
        <f>IF("{amenity.selected}"="True","X","")</f>
        <v/>
      </c>
      <c r="F262" s="860"/>
      <c r="G262" s="861" t="s">
        <v>28</v>
      </c>
      <c r="H262" s="860"/>
      <c r="I262" s="862" t="s">
        <v>29</v>
      </c>
      <c r="J262" s="860"/>
      <c r="K262" s="863" t="s">
        <v>30</v>
      </c>
    </row>
    <row customFormat="1" r="263" s="704" spans="1:11" x14ac:dyDescent="0.35">
      <c r="A263" s="850" t="s">
        <v>31</v>
      </c>
      <c r="B263" s="851"/>
      <c r="C263" s="851"/>
      <c r="D263" s="851"/>
      <c r="E263" s="851"/>
      <c r="F263" s="852"/>
      <c r="G263" s="851"/>
      <c r="H263" s="852"/>
      <c r="I263" s="851"/>
      <c r="J263" s="852"/>
      <c r="K263" s="853"/>
    </row>
    <row customFormat="1" r="264" s="704" spans="1:11" x14ac:dyDescent="0.35">
      <c r="A264" s="854" t="s">
        <v>23</v>
      </c>
      <c r="B264" s="855"/>
      <c r="C264" s="855"/>
      <c r="D264" s="855"/>
      <c r="E264" s="855" t="s">
        <v>24</v>
      </c>
      <c r="F264" s="856"/>
      <c r="G264" s="855" t="s">
        <v>25</v>
      </c>
      <c r="H264" s="856"/>
      <c r="I264" s="855" t="s">
        <v>471</v>
      </c>
      <c r="J264" s="856"/>
      <c r="K264" s="857" t="s">
        <v>26</v>
      </c>
    </row>
    <row customFormat="1" r="265" s="704" spans="1:11" x14ac:dyDescent="0.35">
      <c r="A265" s="858" t="s">
        <v>32</v>
      </c>
      <c r="B265" s="859"/>
      <c r="C265" s="505"/>
      <c r="D265" s="505"/>
      <c r="E265" s="859" t="str">
        <f>IF("{amenity.selected}"="True","X","")</f>
        <v/>
      </c>
      <c r="F265" s="860"/>
      <c r="G265" s="861" t="s">
        <v>28</v>
      </c>
      <c r="H265" s="860"/>
      <c r="I265" s="862" t="s">
        <v>29</v>
      </c>
      <c r="J265" s="860"/>
      <c r="K265" s="863" t="s">
        <v>30</v>
      </c>
    </row>
    <row customFormat="1" r="266" s="704" spans="1:11" x14ac:dyDescent="0.35">
      <c r="A266" s="864"/>
      <c r="B266" s="859"/>
      <c r="C266" s="505"/>
      <c r="D266" s="505"/>
      <c r="E266" s="859"/>
      <c r="F266" s="505"/>
      <c r="G266" s="861"/>
      <c r="H266" s="505"/>
      <c r="I266" s="862"/>
      <c r="J266" s="505"/>
      <c r="K266" s="862"/>
    </row>
    <row customFormat="1" ht="21" r="267" s="693" spans="1:11" x14ac:dyDescent="0.35">
      <c r="A267" s="694" t="s">
        <v>443</v>
      </c>
      <c r="B267" s="571"/>
      <c r="C267" s="571"/>
      <c r="D267" s="571"/>
      <c r="E267" s="571"/>
      <c r="F267" s="571"/>
      <c r="G267" s="571"/>
      <c r="H267" s="571"/>
      <c r="I267" s="571"/>
      <c r="J267" s="571"/>
      <c r="K267" s="571"/>
    </row>
    <row customFormat="1" r="268" s="693" spans="1:11" x14ac:dyDescent="0.35">
      <c r="A268" s="571"/>
      <c r="B268" s="571"/>
      <c r="C268" s="571"/>
      <c r="D268" s="571"/>
      <c r="E268" s="571"/>
      <c r="F268" s="571"/>
      <c r="G268" s="571"/>
      <c r="H268" s="571"/>
      <c r="I268" s="571"/>
      <c r="J268" s="571"/>
      <c r="K268" s="571"/>
    </row>
    <row r="269" spans="1:11" x14ac:dyDescent="0.35">
      <c r="A269" s="571"/>
      <c r="B269" s="571"/>
      <c r="C269" s="571"/>
      <c r="D269" s="571"/>
      <c r="E269" s="571"/>
      <c r="F269" s="571"/>
      <c r="G269" s="571"/>
      <c r="H269" s="571"/>
      <c r="I269" s="571"/>
      <c r="J269" s="571"/>
      <c r="K269" s="571"/>
    </row>
    <row r="270" spans="1:11" x14ac:dyDescent="0.35">
      <c r="A270" s="571"/>
      <c r="B270" s="571"/>
      <c r="C270" s="571"/>
      <c r="D270" s="571"/>
      <c r="E270" s="571"/>
      <c r="F270" s="571"/>
      <c r="G270" s="571"/>
      <c r="H270" s="571"/>
      <c r="I270" s="571"/>
      <c r="J270" s="571"/>
      <c r="K270" s="571"/>
    </row>
    <row r="271" spans="1:11" x14ac:dyDescent="0.35">
      <c r="A271" s="571"/>
      <c r="B271" s="571"/>
      <c r="C271" s="571"/>
      <c r="D271" s="571"/>
      <c r="E271" s="571"/>
      <c r="F271" s="571"/>
      <c r="G271" s="571"/>
      <c r="H271" s="571"/>
      <c r="I271" s="571"/>
      <c r="J271" s="571"/>
      <c r="K271" s="571"/>
    </row>
    <row r="272" spans="1:11" x14ac:dyDescent="0.35">
      <c r="A272" s="571"/>
      <c r="B272" s="571"/>
      <c r="C272" s="571"/>
      <c r="D272" s="571"/>
      <c r="E272" s="571"/>
      <c r="F272" s="571"/>
      <c r="G272" s="571"/>
      <c r="H272" s="571"/>
      <c r="I272" s="571"/>
      <c r="J272" s="571"/>
      <c r="K272" s="571"/>
    </row>
    <row r="273" spans="1:11" x14ac:dyDescent="0.35">
      <c r="A273" s="571"/>
      <c r="B273" s="571"/>
      <c r="C273" s="571"/>
      <c r="D273" s="571"/>
      <c r="E273" s="571"/>
      <c r="F273" s="571"/>
      <c r="G273" s="571"/>
      <c r="H273" s="571"/>
      <c r="I273" s="571"/>
      <c r="J273" s="571"/>
      <c r="K273" s="571"/>
    </row>
    <row r="274" spans="1:11" x14ac:dyDescent="0.35">
      <c r="A274" s="571"/>
      <c r="B274" s="571"/>
      <c r="C274" s="571"/>
      <c r="D274" s="571"/>
      <c r="E274" s="571"/>
      <c r="F274" s="571"/>
      <c r="G274" s="571"/>
      <c r="H274" s="571"/>
      <c r="I274" s="571"/>
      <c r="J274" s="571"/>
      <c r="K274" s="571"/>
    </row>
    <row r="275" spans="1:11" x14ac:dyDescent="0.35">
      <c r="A275" s="571"/>
      <c r="B275" s="571"/>
      <c r="C275" s="571"/>
      <c r="D275" s="571"/>
      <c r="E275" s="571"/>
      <c r="F275" s="571"/>
      <c r="G275" s="571"/>
      <c r="H275" s="571"/>
      <c r="I275" s="571"/>
      <c r="J275" s="571"/>
      <c r="K275" s="571"/>
    </row>
    <row r="276" spans="1:11" x14ac:dyDescent="0.35">
      <c r="A276" s="571"/>
      <c r="B276" s="571"/>
      <c r="C276" s="571"/>
      <c r="D276" s="571"/>
      <c r="E276" s="571"/>
      <c r="F276" s="571"/>
      <c r="G276" s="571"/>
      <c r="H276" s="571"/>
      <c r="I276" s="571"/>
      <c r="J276" s="571"/>
      <c r="K276" s="571"/>
    </row>
    <row r="277" spans="1:11" x14ac:dyDescent="0.35">
      <c r="A277" s="571"/>
      <c r="B277" s="571"/>
      <c r="C277" s="571"/>
      <c r="D277" s="571"/>
      <c r="E277" s="571"/>
      <c r="F277" s="571"/>
      <c r="G277" s="571"/>
      <c r="H277" s="571"/>
      <c r="I277" s="571"/>
      <c r="J277" s="571"/>
      <c r="K277" s="571"/>
    </row>
    <row r="278" spans="1:11" x14ac:dyDescent="0.35">
      <c r="A278" s="571"/>
      <c r="B278" s="571"/>
      <c r="C278" s="571"/>
      <c r="D278" s="571"/>
      <c r="E278" s="571"/>
      <c r="F278" s="571"/>
      <c r="G278" s="571"/>
      <c r="H278" s="571"/>
      <c r="I278" s="571"/>
      <c r="J278" s="571"/>
      <c r="K278" s="571"/>
    </row>
    <row r="279" spans="1:11" x14ac:dyDescent="0.35">
      <c r="A279" s="571"/>
      <c r="B279" s="571"/>
      <c r="C279" s="571"/>
      <c r="D279" s="571"/>
      <c r="E279" s="571"/>
      <c r="F279" s="571"/>
      <c r="G279" s="571"/>
      <c r="H279" s="571"/>
      <c r="I279" s="571"/>
      <c r="J279" s="571"/>
      <c r="K279" s="571"/>
    </row>
    <row r="280" spans="1:11" x14ac:dyDescent="0.35">
      <c r="A280" s="571"/>
      <c r="B280" s="571"/>
      <c r="C280" s="571"/>
      <c r="D280" s="571"/>
      <c r="E280" s="571"/>
      <c r="F280" s="571"/>
      <c r="G280" s="571"/>
      <c r="H280" s="571"/>
      <c r="I280" s="571"/>
      <c r="J280" s="571"/>
      <c r="K280" s="571"/>
    </row>
    <row r="281" spans="1:11" x14ac:dyDescent="0.35">
      <c r="A281" s="571"/>
      <c r="B281" s="571"/>
      <c r="C281" s="571"/>
      <c r="D281" s="571"/>
      <c r="E281" s="571"/>
      <c r="F281" s="571"/>
      <c r="G281" s="571"/>
      <c r="H281" s="571"/>
      <c r="I281" s="571"/>
      <c r="J281" s="571"/>
      <c r="K281" s="571"/>
    </row>
    <row r="282" spans="1:11" x14ac:dyDescent="0.35">
      <c r="A282" s="571"/>
      <c r="B282" s="571"/>
      <c r="C282" s="571"/>
      <c r="D282" s="571"/>
      <c r="E282" s="571"/>
      <c r="F282" s="571"/>
      <c r="G282" s="571"/>
      <c r="H282" s="571"/>
      <c r="I282" s="571"/>
      <c r="J282" s="571"/>
      <c r="K282" s="571"/>
    </row>
    <row r="283" spans="1:11" x14ac:dyDescent="0.35">
      <c r="A283" s="571"/>
      <c r="B283" s="571"/>
      <c r="C283" s="571"/>
      <c r="D283" s="571"/>
      <c r="E283" s="571"/>
      <c r="F283" s="571"/>
      <c r="G283" s="571"/>
      <c r="H283" s="571"/>
      <c r="I283" s="571"/>
      <c r="J283" s="571"/>
      <c r="K283" s="571"/>
    </row>
    <row r="284" spans="1:11" x14ac:dyDescent="0.35">
      <c r="A284" s="571"/>
      <c r="B284" s="571"/>
      <c r="C284" s="571"/>
      <c r="D284" s="571"/>
      <c r="E284" s="571"/>
      <c r="F284" s="571"/>
      <c r="G284" s="571"/>
      <c r="H284" s="571"/>
      <c r="I284" s="571"/>
      <c r="J284" s="571"/>
      <c r="K284" s="571"/>
    </row>
    <row r="285" spans="1:11" x14ac:dyDescent="0.35">
      <c r="A285" s="571"/>
      <c r="B285" s="571"/>
      <c r="C285" s="571"/>
      <c r="D285" s="571"/>
      <c r="E285" s="571"/>
      <c r="F285" s="571"/>
      <c r="G285" s="571"/>
      <c r="H285" s="571"/>
      <c r="I285" s="571"/>
      <c r="J285" s="571"/>
      <c r="K285" s="571"/>
    </row>
    <row r="286" spans="1:11" x14ac:dyDescent="0.35">
      <c r="A286" s="571"/>
      <c r="B286" s="571"/>
      <c r="C286" s="571"/>
      <c r="D286" s="571"/>
      <c r="E286" s="571"/>
      <c r="F286" s="571"/>
      <c r="G286" s="571"/>
      <c r="H286" s="571"/>
      <c r="I286" s="571"/>
      <c r="J286" s="571"/>
      <c r="K286" s="571"/>
    </row>
    <row r="287" spans="1:11" x14ac:dyDescent="0.35">
      <c r="A287" s="571"/>
      <c r="B287" s="571"/>
      <c r="C287" s="571"/>
      <c r="D287" s="571"/>
      <c r="E287" s="571"/>
      <c r="F287" s="571"/>
      <c r="G287" s="571"/>
      <c r="H287" s="571"/>
      <c r="I287" s="571"/>
      <c r="J287" s="571"/>
      <c r="K287" s="571"/>
    </row>
    <row r="288" spans="1:11" x14ac:dyDescent="0.35">
      <c r="A288" s="571"/>
      <c r="B288" s="571"/>
      <c r="C288" s="571"/>
      <c r="D288" s="571"/>
      <c r="E288" s="571"/>
      <c r="F288" s="571"/>
      <c r="G288" s="571"/>
      <c r="H288" s="571"/>
      <c r="I288" s="571"/>
      <c r="J288" s="571"/>
      <c r="K288" s="571"/>
    </row>
    <row r="289" spans="1:11" x14ac:dyDescent="0.35">
      <c r="A289" s="571"/>
      <c r="B289" s="571"/>
      <c r="C289" s="571"/>
      <c r="D289" s="571"/>
      <c r="E289" s="571"/>
      <c r="F289" s="571"/>
      <c r="G289" s="571"/>
      <c r="H289" s="571"/>
      <c r="I289" s="571"/>
      <c r="J289" s="571"/>
      <c r="K289" s="571"/>
    </row>
    <row r="290" spans="1:11" x14ac:dyDescent="0.35">
      <c r="A290" s="571"/>
      <c r="B290" s="571"/>
      <c r="C290" s="571"/>
      <c r="D290" s="571"/>
      <c r="E290" s="571"/>
      <c r="F290" s="571"/>
      <c r="G290" s="571"/>
      <c r="H290" s="571"/>
      <c r="I290" s="571"/>
      <c r="J290" s="571"/>
      <c r="K290" s="571"/>
    </row>
    <row r="291" spans="1:11" x14ac:dyDescent="0.35">
      <c r="A291" s="571"/>
      <c r="B291" s="571"/>
      <c r="C291" s="571"/>
      <c r="D291" s="571"/>
      <c r="E291" s="571"/>
      <c r="F291" s="571"/>
      <c r="G291" s="571"/>
      <c r="H291" s="571"/>
      <c r="I291" s="571"/>
      <c r="J291" s="571"/>
      <c r="K291" s="571"/>
    </row>
    <row r="292" spans="1:11" x14ac:dyDescent="0.35">
      <c r="A292" s="571"/>
      <c r="B292" s="571"/>
      <c r="C292" s="571"/>
      <c r="D292" s="571"/>
      <c r="E292" s="571"/>
      <c r="F292" s="571"/>
      <c r="G292" s="571"/>
      <c r="H292" s="571"/>
      <c r="I292" s="571"/>
      <c r="J292" s="571"/>
      <c r="K292" s="571"/>
    </row>
    <row r="293" spans="1:11" x14ac:dyDescent="0.35">
      <c r="A293" s="571"/>
      <c r="B293" s="571"/>
      <c r="C293" s="571"/>
      <c r="D293" s="571"/>
      <c r="E293" s="571"/>
      <c r="F293" s="571"/>
      <c r="G293" s="571"/>
      <c r="H293" s="571"/>
      <c r="I293" s="571"/>
      <c r="J293" s="571"/>
      <c r="K293" s="571"/>
    </row>
    <row r="294" spans="1:11" x14ac:dyDescent="0.35">
      <c r="A294" s="571"/>
      <c r="B294" s="571"/>
      <c r="C294" s="571"/>
      <c r="D294" s="571"/>
      <c r="E294" s="571"/>
      <c r="F294" s="571"/>
      <c r="G294" s="571"/>
      <c r="H294" s="571"/>
      <c r="I294" s="571"/>
      <c r="J294" s="571"/>
      <c r="K294" s="571"/>
    </row>
    <row r="295" spans="1:11" x14ac:dyDescent="0.35">
      <c r="A295" s="571"/>
      <c r="B295" s="571"/>
      <c r="C295" s="571"/>
      <c r="D295" s="571"/>
      <c r="E295" s="571"/>
      <c r="F295" s="571"/>
      <c r="G295" s="571"/>
      <c r="H295" s="571"/>
      <c r="I295" s="571"/>
      <c r="J295" s="571"/>
      <c r="K295" s="571"/>
    </row>
    <row r="296" spans="1:11" x14ac:dyDescent="0.35">
      <c r="A296" s="571"/>
      <c r="B296" s="571"/>
      <c r="C296" s="571"/>
      <c r="D296" s="571"/>
      <c r="E296" s="571"/>
      <c r="F296" s="571"/>
      <c r="G296" s="571"/>
      <c r="H296" s="571"/>
      <c r="I296" s="571"/>
      <c r="J296" s="571"/>
      <c r="K296" s="571"/>
    </row>
    <row r="297" spans="1:11" x14ac:dyDescent="0.35">
      <c r="A297" s="571"/>
      <c r="B297" s="571"/>
      <c r="C297" s="571"/>
      <c r="D297" s="571"/>
      <c r="E297" s="571"/>
      <c r="F297" s="571"/>
      <c r="G297" s="571"/>
      <c r="H297" s="571"/>
      <c r="I297" s="571"/>
      <c r="J297" s="571"/>
      <c r="K297" s="571"/>
    </row>
    <row r="298" spans="1:11" x14ac:dyDescent="0.35">
      <c r="A298" s="571"/>
      <c r="B298" s="571"/>
      <c r="C298" s="571"/>
      <c r="D298" s="571"/>
      <c r="E298" s="571"/>
      <c r="F298" s="571"/>
      <c r="G298" s="571"/>
      <c r="H298" s="571"/>
      <c r="I298" s="571"/>
      <c r="J298" s="571"/>
      <c r="K298" s="571"/>
    </row>
    <row r="299" spans="1:11" x14ac:dyDescent="0.35">
      <c r="A299" s="571"/>
      <c r="B299" s="571"/>
      <c r="C299" s="571"/>
      <c r="D299" s="571"/>
      <c r="E299" s="571"/>
      <c r="F299" s="571"/>
      <c r="G299" s="571"/>
      <c r="H299" s="571"/>
      <c r="I299" s="571"/>
      <c r="J299" s="571"/>
      <c r="K299" s="571"/>
    </row>
    <row r="300" spans="1:11" x14ac:dyDescent="0.35">
      <c r="A300" s="571"/>
      <c r="B300" s="571"/>
      <c r="C300" s="571"/>
      <c r="D300" s="571"/>
      <c r="E300" s="571"/>
      <c r="F300" s="571"/>
      <c r="G300" s="571"/>
      <c r="H300" s="571"/>
      <c r="I300" s="571"/>
      <c r="J300" s="571"/>
      <c r="K300" s="571"/>
    </row>
    <row r="301" spans="1:11" x14ac:dyDescent="0.35">
      <c r="A301" s="571"/>
      <c r="B301" s="571"/>
      <c r="C301" s="571"/>
      <c r="D301" s="571"/>
      <c r="E301" s="571"/>
      <c r="F301" s="571"/>
      <c r="G301" s="571"/>
      <c r="H301" s="571"/>
      <c r="I301" s="571"/>
      <c r="J301" s="571"/>
      <c r="K301" s="571"/>
    </row>
    <row r="302" spans="1:11" x14ac:dyDescent="0.35">
      <c r="A302" s="571"/>
      <c r="B302" s="571"/>
      <c r="C302" s="571"/>
      <c r="D302" s="571"/>
      <c r="E302" s="571"/>
      <c r="F302" s="571"/>
      <c r="G302" s="571"/>
      <c r="H302" s="571"/>
      <c r="I302" s="571"/>
      <c r="J302" s="571"/>
      <c r="K302" s="571"/>
    </row>
    <row r="303" spans="1:11" x14ac:dyDescent="0.35">
      <c r="A303" s="571"/>
      <c r="B303" s="571"/>
      <c r="C303" s="571"/>
      <c r="D303" s="571"/>
      <c r="E303" s="571"/>
      <c r="F303" s="571"/>
      <c r="G303" s="571"/>
      <c r="H303" s="571"/>
      <c r="I303" s="571"/>
      <c r="J303" s="571"/>
      <c r="K303" s="571"/>
    </row>
    <row r="304" spans="1:11" x14ac:dyDescent="0.35">
      <c r="A304" s="571"/>
      <c r="B304" s="571"/>
      <c r="C304" s="571"/>
      <c r="D304" s="571"/>
      <c r="E304" s="571"/>
      <c r="F304" s="571"/>
      <c r="G304" s="571"/>
      <c r="H304" s="571"/>
      <c r="I304" s="571"/>
      <c r="J304" s="571"/>
      <c r="K304" s="571"/>
    </row>
    <row r="305" spans="1:11" x14ac:dyDescent="0.35">
      <c r="A305" s="571"/>
      <c r="B305" s="571"/>
      <c r="C305" s="571"/>
      <c r="D305" s="571"/>
      <c r="E305" s="571"/>
      <c r="F305" s="571"/>
      <c r="G305" s="571"/>
      <c r="H305" s="571"/>
      <c r="I305" s="571"/>
      <c r="J305" s="571"/>
      <c r="K305" s="571"/>
    </row>
    <row r="306" spans="1:11" x14ac:dyDescent="0.35">
      <c r="A306" s="571"/>
      <c r="B306" s="571"/>
      <c r="C306" s="571"/>
      <c r="D306" s="571"/>
      <c r="E306" s="571"/>
      <c r="F306" s="571"/>
      <c r="G306" s="571"/>
      <c r="H306" s="571"/>
      <c r="I306" s="571"/>
      <c r="J306" s="571"/>
      <c r="K306" s="571"/>
    </row>
    <row r="307" spans="1:11" x14ac:dyDescent="0.35">
      <c r="A307" s="571"/>
      <c r="B307" s="571"/>
      <c r="C307" s="571"/>
      <c r="D307" s="571"/>
      <c r="E307" s="571"/>
      <c r="F307" s="571"/>
      <c r="G307" s="571"/>
      <c r="H307" s="571"/>
      <c r="I307" s="571"/>
      <c r="J307" s="571"/>
      <c r="K307" s="571"/>
    </row>
  </sheetData>
  <mergeCells count="6">
    <mergeCell ref="B26:C26"/>
    <mergeCell ref="B90:K91"/>
    <mergeCell ref="B93:K94"/>
    <mergeCell ref="B96:K97"/>
    <mergeCell ref="B99:K100"/>
    <mergeCell ref="B102:K103"/>
  </mergeCells>
  <pageMargins bottom="0.75" footer="0.3" header="0.3" left="0.25" right="0.25" top="1.6346153846153846"/>
  <pageSetup orientation="portrait" r:id="rId1"/>
  <headerFooter>
    <oddHeader>&amp;C&amp;G</oddHeader>
    <oddFooter><![CDATA[&L&10&K384B61Enodo Analysis&C&10&K384B61{property.name} | {property.street_address}, {property.city}, {property.state}&R&"Page,Regular"&10&K384B61&P]]></oddFooter>
  </headerFooter>
  <legacyDrawingHF r:id="rId2"/>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C3D7C-1DB2-42C4-97A7-5A5B335103DC}">
  <dimension ref="A1:V29"/>
  <sheetViews>
    <sheetView workbookViewId="0" zoomScaleNormal="100">
      <selection activeCell="H37" sqref="H37"/>
    </sheetView>
  </sheetViews>
  <sheetFormatPr defaultColWidth="8.7265625" defaultRowHeight="14.5" x14ac:dyDescent="0.35"/>
  <cols>
    <col min="1" max="1" customWidth="true" style="52" width="2.7265625" collapsed="false"/>
    <col min="2" max="2" customWidth="true" style="19" width="15.7265625" collapsed="false"/>
    <col min="3" max="3" customWidth="true" style="19" width="14.7265625" collapsed="false"/>
    <col min="4" max="4" customWidth="true" style="181" width="17.7265625" collapsed="false"/>
    <col min="5" max="5" customWidth="true" style="181" width="9.7265625" collapsed="false"/>
    <col min="6" max="6" customWidth="true" style="181" width="10.26953125" collapsed="false"/>
    <col min="7" max="7" customWidth="true" style="181" width="8.26953125" collapsed="false"/>
    <col min="8" max="8" customWidth="true" style="181" width="11.54296875" collapsed="false"/>
    <col min="9" max="9" customWidth="true" style="182" width="16.0" collapsed="false"/>
    <col min="10" max="10" customWidth="true" style="183" width="10.7265625" collapsed="false"/>
    <col min="11" max="11" customWidth="true" style="38" width="10.7265625" collapsed="false"/>
    <col min="12" max="12" customWidth="true" style="29" width="10.7265625" collapsed="false"/>
    <col min="13" max="13" customWidth="true" style="38" width="10.7265625" collapsed="false"/>
    <col min="14" max="14" customWidth="true" style="149" width="10.7265625" collapsed="false"/>
    <col min="15" max="15" customWidth="true" style="132" width="10.7265625" collapsed="false"/>
    <col min="16" max="16" customWidth="true" style="149" width="10.7265625" collapsed="false"/>
    <col min="17" max="17" customWidth="true" style="132" width="10.7265625" collapsed="false"/>
    <col min="18" max="20" customWidth="true" style="80" width="10.7265625" collapsed="false"/>
    <col min="21" max="16384" style="52" width="8.7265625" collapsed="false"/>
  </cols>
  <sheetData>
    <row r="1" spans="1:20" x14ac:dyDescent="0.35">
      <c r="A1" s="58"/>
      <c r="B1" s="58"/>
      <c r="C1" s="58"/>
      <c r="D1" s="59"/>
      <c r="E1" s="59"/>
      <c r="F1" s="59"/>
      <c r="G1" s="59"/>
      <c r="H1" s="59"/>
      <c r="I1" s="60"/>
      <c r="J1" s="61"/>
      <c r="K1" s="62"/>
      <c r="L1" s="61"/>
      <c r="M1" s="62"/>
      <c r="N1" s="63"/>
      <c r="O1" s="64"/>
      <c r="P1" s="63"/>
      <c r="Q1" s="64"/>
      <c r="R1" s="65"/>
      <c r="S1" s="65"/>
      <c r="T1" s="65"/>
    </row>
    <row ht="18.5" r="2" spans="1:20" x14ac:dyDescent="0.35">
      <c r="A2" s="58"/>
      <c r="B2" s="2" t="s">
        <v>362</v>
      </c>
      <c r="C2" s="2"/>
      <c r="D2" s="59"/>
      <c r="E2" s="59"/>
      <c r="F2" s="59"/>
      <c r="G2" s="59"/>
      <c r="H2" s="59"/>
      <c r="I2" s="60"/>
      <c r="J2" s="61"/>
      <c r="K2" s="62"/>
      <c r="L2" s="61"/>
      <c r="M2" s="62"/>
      <c r="N2" s="63"/>
      <c r="O2" s="64"/>
      <c r="P2" s="63"/>
      <c r="Q2" s="64"/>
      <c r="R2" s="65"/>
      <c r="S2" s="65"/>
      <c r="T2" s="65"/>
    </row>
    <row ht="18.5" r="3" spans="1:20" x14ac:dyDescent="0.35">
      <c r="A3" s="58"/>
      <c r="B3" s="3" t="str">
        <f>IF(LEN("{property.name}")&gt;1,"{property.name}"&amp;" | "&amp;"{property.number_units}"&amp;" Units","{property.number_units}"&amp;" Units")</f>
        <v>{property.name} | {property.number_units} Units</v>
      </c>
      <c r="C3" s="3"/>
      <c r="D3" s="59"/>
      <c r="E3" s="59"/>
      <c r="F3" s="59"/>
      <c r="G3" s="59"/>
      <c r="H3" s="59"/>
      <c r="I3" s="60"/>
      <c r="J3" s="61"/>
      <c r="K3" s="62"/>
      <c r="L3" s="61"/>
      <c r="M3" s="62"/>
      <c r="N3" s="63"/>
      <c r="O3" s="64"/>
      <c r="P3" s="63"/>
      <c r="Q3" s="64"/>
      <c r="R3" s="65"/>
      <c r="S3" s="65"/>
      <c r="T3" s="65"/>
    </row>
    <row ht="18.5" r="4" spans="1:20" x14ac:dyDescent="0.35">
      <c r="A4" s="58"/>
      <c r="B4" s="3" t="s">
        <v>0</v>
      </c>
      <c r="C4" s="3"/>
      <c r="D4" s="59"/>
      <c r="E4" s="59"/>
      <c r="F4" s="59"/>
      <c r="G4" s="59"/>
      <c r="H4" s="59"/>
      <c r="I4" s="60"/>
      <c r="J4" s="61"/>
      <c r="K4" s="62"/>
      <c r="L4" s="61"/>
      <c r="M4" s="62"/>
      <c r="N4" s="63"/>
      <c r="O4" s="64"/>
      <c r="P4" s="63"/>
      <c r="Q4" s="64"/>
      <c r="R4" s="65"/>
      <c r="S4" s="65"/>
      <c r="T4" s="65"/>
    </row>
    <row r="5" spans="1:20" x14ac:dyDescent="0.35">
      <c r="A5" s="58"/>
      <c r="B5" s="58"/>
      <c r="C5" s="58"/>
      <c r="D5" s="59"/>
      <c r="E5" s="59"/>
      <c r="F5" s="59"/>
      <c r="G5" s="59"/>
      <c r="H5" s="59"/>
      <c r="I5" s="60"/>
      <c r="J5" s="61"/>
      <c r="K5" s="62"/>
      <c r="L5" s="61"/>
      <c r="M5" s="62"/>
      <c r="N5" s="63"/>
      <c r="O5" s="64"/>
      <c r="P5" s="63"/>
      <c r="Q5" s="64"/>
      <c r="R5" s="65"/>
      <c r="S5" s="65"/>
      <c r="T5" s="65"/>
    </row>
    <row r="6" spans="1:20" x14ac:dyDescent="0.35">
      <c r="A6" s="19"/>
      <c r="B6" s="66" t="s">
        <v>33</v>
      </c>
      <c r="C6" s="67"/>
      <c r="D6" s="68"/>
      <c r="E6" s="69"/>
      <c r="F6" s="70" t="s">
        <v>34</v>
      </c>
      <c r="G6" s="70"/>
      <c r="H6" s="70"/>
      <c r="I6" s="71"/>
      <c r="J6" s="72" t="s">
        <v>35</v>
      </c>
      <c r="K6" s="73"/>
      <c r="L6" s="74" t="s">
        <v>36</v>
      </c>
      <c r="M6" s="75"/>
      <c r="N6" s="76" t="s">
        <v>37</v>
      </c>
      <c r="O6" s="77"/>
      <c r="P6" s="78" t="s">
        <v>38</v>
      </c>
      <c r="Q6" s="79"/>
    </row>
    <row r="7" spans="1:20" x14ac:dyDescent="0.35">
      <c r="A7" s="19"/>
      <c r="B7" s="81" t="s">
        <v>39</v>
      </c>
      <c r="C7" s="82"/>
      <c r="D7" s="83"/>
      <c r="E7" s="84" t="s">
        <v>40</v>
      </c>
      <c r="F7" s="85" t="s">
        <v>41</v>
      </c>
      <c r="G7" s="86" t="s">
        <v>42</v>
      </c>
      <c r="H7" s="87" t="s">
        <v>43</v>
      </c>
      <c r="I7" s="88" t="s">
        <v>44</v>
      </c>
      <c r="J7" s="90" t="s">
        <v>45</v>
      </c>
      <c r="K7" s="91" t="s">
        <v>46</v>
      </c>
      <c r="L7" s="90" t="s">
        <v>45</v>
      </c>
      <c r="M7" s="92" t="s">
        <v>46</v>
      </c>
      <c r="N7" s="93" t="s">
        <v>45</v>
      </c>
      <c r="O7" s="92" t="s">
        <v>46</v>
      </c>
      <c r="P7" s="93" t="s">
        <v>45</v>
      </c>
      <c r="Q7" s="92" t="s">
        <v>46</v>
      </c>
    </row>
    <row r="8" spans="1:20" x14ac:dyDescent="0.35">
      <c r="A8" s="19"/>
      <c r="B8" s="94" t="s">
        <v>47</v>
      </c>
      <c r="C8" s="95"/>
      <c r="D8" s="96"/>
      <c r="E8" s="97" t="s">
        <v>48</v>
      </c>
      <c r="F8" s="98" t="str">
        <f ca="1">IFERROR(IF(SUM(INDEX('Unit Mix'!1:1048576,MATCH("Rent Roll",'Unit Mix'!B:B,0)+2,5):INDEX('Unit Mix'!1:1048576,MATCH("Rent Roll",'Unit Mix'!B:B,0)+2000,5))&gt;0,INDIRECT("H"&amp;ROW())-INDIRECT("G"&amp;ROW()),""),"")</f>
        <v/>
      </c>
      <c r="G8" s="98" t="s">
        <v>49</v>
      </c>
      <c r="H8" s="99" t="s">
        <v>50</v>
      </c>
      <c r="I8" s="100" t="str">
        <f ca="1">IFERROR(TEXT(IF(INDIRECT("N"&amp;ROW())&gt;0,"{floor_plan.occupation_rate}",""),"0.00%"),"")</f>
        <v>{floor_plan.occupation_rate}</v>
      </c>
      <c r="J8" s="101" t="s">
        <v>51</v>
      </c>
      <c r="K8" s="102" t="str">
        <f ca="1">IFERROR(INDIRECT("J"&amp;ROW())/INDIRECT("E" &amp; ROW()),"")</f>
        <v/>
      </c>
      <c r="L8" s="101" t="s">
        <v>52</v>
      </c>
      <c r="M8" s="102" t="str">
        <f ca="1">IFERROR(INDIRECT("L"&amp;ROW())/INDIRECT("E" &amp; ROW()),"")</f>
        <v/>
      </c>
      <c r="N8" s="103" t="s">
        <v>53</v>
      </c>
      <c r="O8" s="102" t="str">
        <f ca="1">IFERROR(INDIRECT("N"&amp;ROW())/INDIRECT("E" &amp; ROW()),"")</f>
        <v/>
      </c>
      <c r="P8" s="103" t="str">
        <f ca="1">IFERROR(VLOOKUP(INDIRECT("B"&amp;ROW()),'Comps Analysis'!B39:D42,3,0),"")</f>
        <v/>
      </c>
      <c r="Q8" s="102" t="str">
        <f ca="1">IFERROR(VLOOKUP(INDIRECT("B"&amp;ROW()),'Comps Analysis'!B46:D51,3,0),"")</f>
        <v/>
      </c>
    </row>
    <row r="9" spans="1:20" x14ac:dyDescent="0.35">
      <c r="A9" s="19"/>
      <c r="B9" s="104" t="s">
        <v>54</v>
      </c>
      <c r="C9" s="105"/>
      <c r="D9" s="106"/>
      <c r="E9" s="107" t="str">
        <f ca="1">IFERROR(SUMPRODUCT(H8:INDIRECT("H" &amp; ROW()-1),E8:INDIRECT("E" &amp; ROW()-1)),"")</f>
        <v/>
      </c>
      <c r="F9" s="107" t="str">
        <f ca="1">IFERROR(INDIRECT("H"&amp;ROW())-INDIRECT("G"&amp;ROW()),"")</f>
        <v/>
      </c>
      <c r="G9" s="107" t="str">
        <f ca="1">IF(SUM(G7:INDIRECT("G" &amp; ROW() - 1))&gt;0,SUM(G7:INDIRECT("G" &amp; ROW() - 1)),"")</f>
        <v/>
      </c>
      <c r="H9" s="107" t="str">
        <f ca="1">IF(SUM(H7:INDIRECT("H" &amp; ROW() - 1))&gt;0,SUM(H7:INDIRECT("H" &amp; ROW() - 1)),"")</f>
        <v/>
      </c>
      <c r="I9" s="108"/>
      <c r="J9" s="109" t="str">
        <f ca="1">IFERROR(SUMPRODUCT(J8:INDIRECT("J" &amp; ROW()-1),H8:INDIRECT("H" &amp; ROW()-1)),"")</f>
        <v/>
      </c>
      <c r="K9" s="110"/>
      <c r="L9" s="109" t="str">
        <f ca="1">IFERROR(IF(SUMPRODUCT(L8:INDIRECT("L" &amp; ROW()-1),H8:INDIRECT("H" &amp; ROW()-1))&gt;0,SUMPRODUCT(L8:INDIRECT("L" &amp; ROW()-1),H8:INDIRECT("H" &amp; ROW()-1)),""),"")</f>
        <v/>
      </c>
      <c r="M9" s="110"/>
      <c r="N9" s="109" t="str">
        <f ca="1">IFERROR(SUMPRODUCT(N8:INDIRECT("N" &amp; ROW()-1),H8:INDIRECT("H" &amp; ROW()-1)),"")</f>
        <v/>
      </c>
      <c r="O9" s="110"/>
      <c r="P9" s="109"/>
      <c r="Q9" s="111"/>
    </row>
    <row r="10" spans="1:20" x14ac:dyDescent="0.35">
      <c r="A10" s="19"/>
      <c r="B10" s="112" t="s">
        <v>55</v>
      </c>
      <c r="C10" s="113"/>
      <c r="D10" s="114"/>
      <c r="E10" s="115" t="str">
        <f ca="1">IFERROR(SUMPRODUCT(H8:INDIRECT("H" &amp; ROW()-2),E8:INDIRECT("E" &amp; ROW()-2))/INDIRECT("H" &amp; ROW()-1),"")</f>
        <v/>
      </c>
      <c r="F10" s="115"/>
      <c r="G10" s="115"/>
      <c r="H10" s="115"/>
      <c r="I10" s="116" t="str">
        <f ca="1">IFERROR(INDIRECT("F" &amp; ROW()-1)/INDIRECT("H" &amp; ROW()-1),"")</f>
        <v/>
      </c>
      <c r="J10" s="117" t="str">
        <f ca="1">IFERROR(SUMPRODUCT(H8:INDIRECT("H"&amp;ROW()-2),J8:INDIRECT("J"&amp;ROW()-2))/INDIRECT("H"&amp;ROW()-1),"")</f>
        <v/>
      </c>
      <c r="K10" s="118" t="str">
        <f ca="1">IFERROR(INDIRECT("J"&amp;ROW()-1)/INDIRECT("E" &amp; ROW()-1),"")</f>
        <v/>
      </c>
      <c r="L10" s="117" t="str">
        <f ca="1"><![CDATA[IFERROR(IF(SUMPRODUCT(H8:INDIRECT("H"&ROW()-2),L8:INDIRECT("L"&ROW()-2))/INDIRECT("H"&ROW()-1)>0,SUMPRODUCT(H8:INDIRECT("H"&ROW()-2),L8:INDIRECT("L"&ROW()-2))/INDIRECT("H"&ROW()-1),""),"")]]></f>
        <v/>
      </c>
      <c r="M10" s="118" t="str">
        <f ca="1">IFERROR(INDIRECT("L"&amp;ROW()-1)/INDIRECT("E" &amp; ROW()-1),"")</f>
        <v/>
      </c>
      <c r="N10" s="117" t="str">
        <f ca="1">IFERROR(SUMPRODUCT(H8:INDIRECT("H"&amp;ROW()-2),N8:INDIRECT("N"&amp;ROW()-2))/INDIRECT("H"&amp;ROW()-1),"")</f>
        <v/>
      </c>
      <c r="O10" s="118" t="str">
        <f ca="1">IFERROR(INDIRECT("N"&amp;ROW()-1)/INDIRECT("E" &amp; ROW()-1),"")</f>
        <v/>
      </c>
      <c r="P10" s="117" t="str">
        <f>'Comps Analysis'!D44</f>
        <v/>
      </c>
      <c r="Q10" s="118" t="str">
        <f>'Comps Analysis'!D51</f>
        <v/>
      </c>
    </row>
    <row r="11" spans="1:20" x14ac:dyDescent="0.35">
      <c r="A11" s="19"/>
      <c r="B11" s="119"/>
      <c r="C11" s="120"/>
      <c r="D11" s="121"/>
      <c r="E11" s="121"/>
      <c r="F11" s="121"/>
      <c r="G11" s="121"/>
      <c r="H11" s="121"/>
      <c r="I11" s="122"/>
      <c r="J11" s="123"/>
      <c r="K11" s="124"/>
      <c r="L11" s="123"/>
      <c r="M11" s="124"/>
      <c r="N11" s="123"/>
      <c r="O11" s="124"/>
      <c r="P11" s="123"/>
      <c r="Q11" s="124"/>
    </row>
    <row r="12" spans="1:20" x14ac:dyDescent="0.35">
      <c r="A12" s="19"/>
      <c r="B12" s="119"/>
      <c r="C12" s="120"/>
      <c r="D12" s="121"/>
      <c r="E12" s="121"/>
      <c r="F12" s="121"/>
      <c r="G12" s="121"/>
      <c r="H12" s="121"/>
      <c r="I12" s="122"/>
      <c r="J12" s="123"/>
      <c r="K12" s="124"/>
      <c r="L12" s="123"/>
      <c r="M12" s="124"/>
      <c r="N12" s="123"/>
      <c r="O12" s="124"/>
      <c r="P12" s="123"/>
      <c r="Q12" s="124"/>
    </row>
    <row r="13" spans="1:20" x14ac:dyDescent="0.35">
      <c r="A13" s="19"/>
      <c r="B13" s="119"/>
      <c r="C13" s="120"/>
      <c r="D13" s="121"/>
      <c r="E13" s="121"/>
      <c r="F13" s="121"/>
      <c r="G13" s="121"/>
      <c r="H13" s="121"/>
      <c r="I13" s="122"/>
      <c r="J13" s="123"/>
      <c r="K13" s="124"/>
      <c r="L13" s="123"/>
      <c r="M13" s="124"/>
      <c r="N13" s="123"/>
      <c r="O13" s="124"/>
      <c r="P13" s="123"/>
      <c r="Q13" s="124"/>
    </row>
    <row r="14" spans="1:20" x14ac:dyDescent="0.35">
      <c r="A14" s="19"/>
      <c r="B14" s="125" t="s">
        <v>361</v>
      </c>
      <c r="C14" s="126"/>
      <c r="D14" s="127"/>
      <c r="E14" s="128"/>
      <c r="F14" s="70" t="s">
        <v>34</v>
      </c>
      <c r="G14" s="70"/>
      <c r="H14" s="70"/>
      <c r="I14" s="129"/>
      <c r="J14" s="72" t="s">
        <v>35</v>
      </c>
      <c r="K14" s="130"/>
      <c r="L14" s="74" t="s">
        <v>36</v>
      </c>
      <c r="M14" s="75"/>
      <c r="N14" s="76" t="s">
        <v>37</v>
      </c>
      <c r="O14" s="77"/>
      <c r="P14" s="131"/>
    </row>
    <row r="15" spans="1:20" x14ac:dyDescent="0.35">
      <c r="A15" s="19"/>
      <c r="B15" s="133" t="s">
        <v>56</v>
      </c>
      <c r="C15" s="134" t="s">
        <v>57</v>
      </c>
      <c r="D15" s="83" t="s">
        <v>58</v>
      </c>
      <c r="E15" s="83" t="s">
        <v>40</v>
      </c>
      <c r="F15" s="135" t="s">
        <v>41</v>
      </c>
      <c r="G15" s="87" t="s">
        <v>42</v>
      </c>
      <c r="H15" s="83" t="s">
        <v>43</v>
      </c>
      <c r="I15" s="136" t="s">
        <v>44</v>
      </c>
      <c r="J15" s="90" t="s">
        <v>45</v>
      </c>
      <c r="K15" s="92" t="s">
        <v>46</v>
      </c>
      <c r="L15" s="93" t="s">
        <v>45</v>
      </c>
      <c r="M15" s="92" t="s">
        <v>46</v>
      </c>
      <c r="N15" s="93" t="s">
        <v>45</v>
      </c>
      <c r="O15" s="137" t="s">
        <v>46</v>
      </c>
      <c r="P15" s="131"/>
    </row>
    <row r="16" spans="1:20" x14ac:dyDescent="0.35">
      <c r="A16" s="19"/>
      <c r="B16" s="138" t="s">
        <v>59</v>
      </c>
      <c r="C16" s="139" t="s">
        <v>60</v>
      </c>
      <c r="D16" s="96" t="s">
        <v>61</v>
      </c>
      <c r="E16" s="96" t="s">
        <v>48</v>
      </c>
      <c r="F16" s="98" t="str">
        <f ca="1">IFERROR(IF(SUM(INDEX('Unit Mix'!1:1048576,MATCH("Rent Roll",'Unit Mix'!B:B,0)+2,5):INDEX('Unit Mix'!1:1048576,MATCH("Rent Roll",'Unit Mix'!B:B,0)+2000,5))&gt;0,INDIRECT("H"&amp;ROW())-INDIRECT("G"&amp;ROW()),""),"")</f>
        <v/>
      </c>
      <c r="G16" s="99" t="s">
        <v>49</v>
      </c>
      <c r="H16" s="96" t="s">
        <v>50</v>
      </c>
      <c r="I16" s="100" t="str">
        <f ca="1">IFERROR(TEXT(IF(INDIRECT("N"&amp;ROW())&gt;0,"{floor_plan.occupation_rate}",""),"0.00%"),"")</f>
        <v>{floor_plan.occupation_rate}</v>
      </c>
      <c r="J16" s="101" t="s">
        <v>51</v>
      </c>
      <c r="K16" s="102" t="str">
        <f ca="1">IFERROR(INDIRECT("J"&amp;ROW())/INDIRECT("E" &amp; ROW()),"")</f>
        <v/>
      </c>
      <c r="L16" s="103" t="s">
        <v>52</v>
      </c>
      <c r="M16" s="102" t="str">
        <f ca="1">IFERROR(INDIRECT("L"&amp;ROW())/INDIRECT("E" &amp; ROW()),"")</f>
        <v/>
      </c>
      <c r="N16" s="103" t="s">
        <v>53</v>
      </c>
      <c r="O16" s="102" t="str">
        <f ca="1">IFERROR(INDIRECT("N"&amp;ROW())/INDIRECT("E" &amp; ROW()),"")</f>
        <v/>
      </c>
      <c r="P16" s="131"/>
    </row>
    <row r="17" spans="1:21" x14ac:dyDescent="0.35">
      <c r="A17" s="19"/>
      <c r="B17" s="104" t="s">
        <v>54</v>
      </c>
      <c r="C17" s="140"/>
      <c r="D17" s="106"/>
      <c r="E17" s="107" t="str">
        <f ca="1">IFERROR(SUMPRODUCT(H16:INDIRECT("H" &amp; ROW()-1),E16:INDIRECT("E" &amp; ROW()-1)),"")</f>
        <v/>
      </c>
      <c r="F17" s="141" t="str">
        <f ca="1">IF(SUM(F15:INDIRECT("F" &amp; ROW() - 1))&gt;0,SUM(F15:INDIRECT("F" &amp; ROW() - 1)),"")</f>
        <v/>
      </c>
      <c r="G17" s="107" t="str">
        <f ca="1">IF(SUM(G15:INDIRECT("G" &amp; ROW() - 1))&gt;0,SUM(G15:INDIRECT("G" &amp; ROW() - 1)),"")</f>
        <v/>
      </c>
      <c r="H17" s="107" t="str">
        <f ca="1">IF(SUM(H15:INDIRECT("H" &amp; ROW() - 1))&gt;0,SUM(H15:INDIRECT("H" &amp; ROW() - 1)),"")</f>
        <v/>
      </c>
      <c r="I17" s="142"/>
      <c r="J17" s="143" t="str">
        <f ca="1">IFERROR(SUMPRODUCT(J16:INDIRECT("J" &amp; ROW()-1),H16:INDIRECT("H" &amp; ROW()-1)),"")</f>
        <v/>
      </c>
      <c r="K17" s="110"/>
      <c r="L17" s="109" t="str">
        <f ca="1">IFERROR(IF(SUMPRODUCT(L16:INDIRECT("L" &amp; ROW()-1),H16:INDIRECT("H" &amp; ROW()-1))&gt;0,SUMPRODUCT(L16:INDIRECT("L" &amp; ROW()-1),H16:INDIRECT("H" &amp; ROW()-1)),""),"")</f>
        <v/>
      </c>
      <c r="M17" s="110"/>
      <c r="N17" s="109" t="str">
        <f ca="1">IFERROR(SUMPRODUCT(N16:INDIRECT("N" &amp; ROW()-1),H16:INDIRECT("H" &amp; ROW()-1)),"")</f>
        <v/>
      </c>
      <c r="O17" s="110"/>
      <c r="P17" s="131"/>
    </row>
    <row r="18" spans="1:21" x14ac:dyDescent="0.35">
      <c r="A18" s="19"/>
      <c r="B18" s="112" t="s">
        <v>55</v>
      </c>
      <c r="C18" s="144"/>
      <c r="D18" s="114"/>
      <c r="E18" s="115" t="str">
        <f ca="1">IFERROR(SUMPRODUCT(H16:INDIRECT("H" &amp; ROW()-2),E16:INDIRECT("E" &amp; ROW()-2))/INDIRECT("H" &amp; ROW()-1),"")</f>
        <v/>
      </c>
      <c r="F18" s="115"/>
      <c r="G18" s="115"/>
      <c r="H18" s="115"/>
      <c r="I18" s="116" t="str">
        <f ca="1">IFERROR(INDIRECT("F" &amp; ROW()-1)/INDIRECT("H" &amp; ROW()-1),"")</f>
        <v/>
      </c>
      <c r="J18" s="145" t="str">
        <f ca="1">IFERROR(SUMPRODUCT(H16:INDIRECT("H"&amp;ROW()-2),J16:INDIRECT("J"&amp;ROW()-2))/INDIRECT("H"&amp;ROW()-1),"")</f>
        <v/>
      </c>
      <c r="K18" s="118" t="str">
        <f ca="1">IFERROR(INDIRECT("J"&amp;ROW()-1)/INDIRECT("E" &amp; ROW()-1),"")</f>
        <v/>
      </c>
      <c r="L18" s="117" t="str">
        <f ca="1"><![CDATA[IFERROR(IF(SUMPRODUCT(H16:INDIRECT("H"&ROW()-2),L16:INDIRECT("L"&ROW()-2))/INDIRECT("H"&ROW()-1)>0,SUMPRODUCT(H16:INDIRECT("H"&ROW()-2),L16:INDIRECT("L"&ROW()-2))/INDIRECT("H"&ROW()-1),""),"")]]></f>
        <v/>
      </c>
      <c r="M18" s="118" t="str">
        <f ca="1">IFERROR(INDIRECT("L"&amp;ROW()-1)/INDIRECT("E" &amp; ROW()-1),"")</f>
        <v/>
      </c>
      <c r="N18" s="117" t="str">
        <f ca="1">IFERROR(SUMPRODUCT(H16:INDIRECT("H"&amp;ROW()-2),N16:INDIRECT("N"&amp;ROW()-2))/INDIRECT("H"&amp;ROW()-1),"")</f>
        <v/>
      </c>
      <c r="O18" s="146" t="str">
        <f ca="1">IFERROR(INDIRECT("N"&amp;ROW()-1)/INDIRECT("E" &amp; ROW()-1),"")</f>
        <v/>
      </c>
      <c r="P18" s="131"/>
    </row>
    <row r="19" spans="1:21" x14ac:dyDescent="0.35">
      <c r="A19" s="19"/>
      <c r="C19" s="80"/>
      <c r="D19" s="147"/>
      <c r="E19" s="147"/>
      <c r="F19" s="147"/>
      <c r="G19" s="147"/>
      <c r="H19" s="147"/>
      <c r="I19" s="148"/>
      <c r="J19" s="149"/>
      <c r="K19" s="132"/>
      <c r="L19" s="149"/>
      <c r="M19" s="132"/>
    </row>
    <row r="20" spans="1:21" x14ac:dyDescent="0.35">
      <c r="A20" s="19"/>
      <c r="C20" s="80"/>
      <c r="D20" s="147"/>
      <c r="E20" s="147"/>
      <c r="F20" s="147"/>
      <c r="G20" s="147"/>
      <c r="H20" s="147"/>
      <c r="I20" s="148"/>
      <c r="J20" s="149"/>
      <c r="K20" s="132"/>
      <c r="L20" s="149"/>
      <c r="M20" s="132"/>
    </row>
    <row r="21" spans="1:21" x14ac:dyDescent="0.35">
      <c r="A21" s="19"/>
      <c r="C21" s="80"/>
      <c r="D21" s="147"/>
      <c r="E21" s="147"/>
      <c r="F21" s="147"/>
      <c r="G21" s="147"/>
      <c r="H21" s="147"/>
      <c r="I21" s="148"/>
      <c r="J21" s="149"/>
      <c r="K21" s="132"/>
      <c r="L21" s="149"/>
      <c r="M21" s="132"/>
    </row>
    <row r="22" spans="1:21" x14ac:dyDescent="0.35">
      <c r="A22" s="19"/>
      <c r="B22" s="125" t="s">
        <v>62</v>
      </c>
      <c r="C22" s="126"/>
      <c r="D22" s="127"/>
      <c r="E22" s="128"/>
      <c r="F22" s="70" t="s">
        <v>34</v>
      </c>
      <c r="G22" s="70"/>
      <c r="H22" s="70"/>
      <c r="I22" s="129"/>
      <c r="J22" s="72" t="s">
        <v>35</v>
      </c>
      <c r="K22" s="130"/>
      <c r="L22" s="74" t="s">
        <v>36</v>
      </c>
      <c r="M22" s="75"/>
      <c r="N22" s="150" t="s">
        <v>63</v>
      </c>
      <c r="O22" s="151"/>
      <c r="P22" s="152"/>
      <c r="Q22" s="151"/>
      <c r="R22" s="153"/>
      <c r="S22" s="153"/>
      <c r="T22" s="153"/>
      <c r="U22" s="561"/>
    </row>
    <row r="23" spans="1:21" x14ac:dyDescent="0.35">
      <c r="A23" s="19"/>
      <c r="B23" s="133" t="s">
        <v>56</v>
      </c>
      <c r="C23" s="134" t="s">
        <v>57</v>
      </c>
      <c r="D23" s="83" t="s">
        <v>64</v>
      </c>
      <c r="E23" s="83" t="s">
        <v>40</v>
      </c>
      <c r="F23" s="83" t="s">
        <v>65</v>
      </c>
      <c r="G23" s="83" t="s">
        <v>42</v>
      </c>
      <c r="H23" s="154" t="s">
        <v>66</v>
      </c>
      <c r="I23" s="89" t="s">
        <v>67</v>
      </c>
      <c r="J23" s="90" t="s">
        <v>45</v>
      </c>
      <c r="K23" s="92" t="s">
        <v>46</v>
      </c>
      <c r="L23" s="93" t="s">
        <v>45</v>
      </c>
      <c r="M23" s="92" t="s">
        <v>46</v>
      </c>
      <c r="N23" s="92" t="s">
        <v>68</v>
      </c>
      <c r="O23" s="92"/>
      <c r="P23" s="93"/>
      <c r="Q23" s="92"/>
      <c r="R23" s="134"/>
      <c r="S23" s="134"/>
      <c r="T23" s="82"/>
      <c r="U23" s="561"/>
    </row>
    <row r="24" spans="1:21" x14ac:dyDescent="0.35">
      <c r="A24" s="19"/>
      <c r="B24" s="155" t="str">
        <f ca="1">IFERROR(IF(LEN("{for unit in rent_roll order_by nothing}")&gt;3,"{for unit in rent_roll order_by nothing}",INDEX(B15:INDIRECT("B"&amp;ROW()-8),MATCH(INDIRECT("C"&amp;ROW()),C15:INDIRECT("C"&amp;ROW()-8),0))),"")</f>
        <v>{for unit in rent_roll order_by nothing}</v>
      </c>
      <c r="C24" s="156" t="s">
        <v>69</v>
      </c>
      <c r="D24" s="157" t="s">
        <v>70</v>
      </c>
      <c r="E24" s="157" t="s">
        <v>71</v>
      </c>
      <c r="F24" s="157" t="s">
        <v>72</v>
      </c>
      <c r="G24" s="157" t="str">
        <f ca="1">IF(INDIRECT("F"&amp;ROW())=1,"","Vacant")</f>
        <v>Vacant</v>
      </c>
      <c r="H24" s="158" t="s">
        <v>73</v>
      </c>
      <c r="I24" s="159" t="s">
        <v>74</v>
      </c>
      <c r="J24" s="160" t="s">
        <v>75</v>
      </c>
      <c r="K24" s="102" t="str">
        <f ca="1">IFERROR(INDIRECT("J"&amp;ROW())/INDIRECT("E" &amp; ROW()),"")</f>
        <v/>
      </c>
      <c r="L24" s="161" t="s">
        <v>76</v>
      </c>
      <c r="M24" s="102" t="str">
        <f ca="1">IFERROR(INDIRECT("L"&amp;ROW())/INDIRECT("E" &amp; ROW()),"")</f>
        <v/>
      </c>
      <c r="N24" s="162" t="s">
        <v>77</v>
      </c>
      <c r="O24" s="163"/>
      <c r="P24" s="164"/>
      <c r="Q24" s="163"/>
      <c r="R24" s="165"/>
      <c r="S24" s="165"/>
      <c r="T24" s="165"/>
      <c r="U24" s="561"/>
    </row>
    <row r="25" spans="1:21" x14ac:dyDescent="0.35">
      <c r="A25" s="19"/>
      <c r="B25" s="560"/>
      <c r="C25" s="166"/>
      <c r="D25" s="167"/>
      <c r="E25" s="167"/>
      <c r="F25" s="167"/>
      <c r="G25" s="167"/>
      <c r="H25" s="167"/>
      <c r="I25" s="168"/>
      <c r="J25" s="169"/>
      <c r="K25" s="170"/>
      <c r="L25" s="171"/>
      <c r="M25" s="170"/>
      <c r="N25" s="172"/>
      <c r="O25" s="173"/>
      <c r="P25" s="172"/>
      <c r="Q25" s="173"/>
      <c r="R25" s="174"/>
      <c r="S25" s="174"/>
      <c r="T25" s="174"/>
      <c r="U25" s="561"/>
    </row>
    <row r="26" spans="1:21" x14ac:dyDescent="0.35">
      <c r="B26" s="175"/>
      <c r="C26" s="175"/>
      <c r="D26" s="176"/>
      <c r="E26" s="176"/>
      <c r="F26" s="176"/>
      <c r="G26" s="176"/>
      <c r="H26" s="176"/>
      <c r="I26" s="177"/>
      <c r="J26" s="178"/>
      <c r="K26" s="179"/>
      <c r="L26" s="180"/>
      <c r="M26" s="179"/>
      <c r="N26" s="164"/>
      <c r="O26" s="163"/>
      <c r="P26" s="164"/>
      <c r="Q26" s="163"/>
      <c r="R26" s="165"/>
      <c r="S26" s="165"/>
      <c r="T26" s="165"/>
    </row>
    <row r="27" spans="1:21" x14ac:dyDescent="0.35">
      <c r="B27" s="175"/>
      <c r="C27" s="175"/>
      <c r="D27" s="176"/>
      <c r="E27" s="176"/>
      <c r="F27" s="176"/>
      <c r="G27" s="176"/>
      <c r="H27" s="176"/>
      <c r="I27" s="177"/>
      <c r="J27" s="178"/>
      <c r="K27" s="179"/>
      <c r="L27" s="180"/>
      <c r="M27" s="179"/>
      <c r="N27" s="164"/>
      <c r="O27" s="163"/>
      <c r="P27" s="164"/>
      <c r="Q27" s="163"/>
      <c r="R27" s="165"/>
      <c r="S27" s="165"/>
      <c r="T27" s="165"/>
    </row>
    <row r="28" spans="1:21" x14ac:dyDescent="0.35">
      <c r="B28" s="175"/>
      <c r="C28" s="175"/>
      <c r="E28" s="176"/>
      <c r="F28" s="176"/>
      <c r="G28" s="176"/>
      <c r="H28" s="176"/>
      <c r="I28" s="177"/>
      <c r="J28" s="178"/>
      <c r="K28" s="179"/>
      <c r="L28" s="180"/>
      <c r="M28" s="179"/>
      <c r="N28" s="164"/>
      <c r="O28" s="163"/>
      <c r="P28" s="164"/>
      <c r="Q28" s="163"/>
      <c r="R28" s="165"/>
      <c r="S28" s="165"/>
      <c r="T28" s="165"/>
    </row>
    <row r="29" spans="1:21" x14ac:dyDescent="0.35">
      <c r="B29" s="175"/>
      <c r="C29" s="175"/>
      <c r="E29" s="176"/>
      <c r="F29" s="176"/>
      <c r="G29" s="176"/>
      <c r="H29" s="176"/>
      <c r="I29" s="177"/>
      <c r="J29" s="178"/>
      <c r="K29" s="179"/>
      <c r="L29" s="180"/>
      <c r="M29" s="179"/>
      <c r="N29" s="164"/>
      <c r="O29" s="163"/>
      <c r="P29" s="164"/>
      <c r="Q29" s="163"/>
      <c r="R29" s="165"/>
      <c r="S29" s="165"/>
      <c r="T29" s="165"/>
    </row>
  </sheetData>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BCD00-83A8-4F66-B6D1-B2BC2A835D3F}">
  <dimension ref="B2:AC34"/>
  <sheetViews>
    <sheetView workbookViewId="0" zoomScaleNormal="100">
      <selection activeCell="C2" sqref="C2"/>
    </sheetView>
  </sheetViews>
  <sheetFormatPr defaultColWidth="8.7265625" defaultRowHeight="14.5" x14ac:dyDescent="0.35"/>
  <cols>
    <col min="1" max="1" customWidth="true" style="52" width="2.7265625" collapsed="false"/>
    <col min="2" max="2" customWidth="true" style="203" width="24.81640625" collapsed="false"/>
    <col min="3" max="3" bestFit="true" customWidth="true" style="203" width="17.453125" collapsed="false"/>
    <col min="4" max="4" bestFit="true" customWidth="true" style="253" width="9.7265625" collapsed="false"/>
    <col min="5" max="5" customWidth="true" style="254" width="8.81640625" collapsed="false"/>
    <col min="6" max="6" customWidth="true" style="253" width="16.26953125" collapsed="false"/>
    <col min="7" max="7" bestFit="true" customWidth="true" style="253" width="12.26953125" collapsed="false"/>
    <col min="8" max="8" bestFit="true" customWidth="true" style="254" width="12.81640625" collapsed="false"/>
    <col min="9" max="9" bestFit="true" customWidth="true" style="255" width="16.7265625" collapsed="false"/>
    <col min="10" max="10" bestFit="true" customWidth="true" style="203" width="9.26953125" collapsed="false"/>
    <col min="11" max="11" bestFit="true" customWidth="true" style="203" width="7.1796875" collapsed="false"/>
    <col min="12" max="12" bestFit="true" customWidth="true" style="203" width="9.26953125" collapsed="false"/>
    <col min="13" max="13" bestFit="true" customWidth="true" style="203" width="7.1796875" collapsed="false"/>
    <col min="14" max="14" bestFit="true" customWidth="true" style="203" width="12.0" collapsed="false"/>
    <col min="15" max="15" bestFit="true" customWidth="true" style="203" width="8.453125" collapsed="false"/>
    <col min="16" max="16" bestFit="true" customWidth="true" style="203" width="12.0" collapsed="false"/>
    <col min="17" max="17" bestFit="true" customWidth="true" style="203" width="8.453125" collapsed="false"/>
    <col min="18" max="18" bestFit="true" customWidth="true" style="203" width="12.0" collapsed="false"/>
    <col min="19" max="19" bestFit="true" customWidth="true" style="203" width="8.453125" collapsed="false"/>
    <col min="20" max="20" customWidth="true" style="203" width="2.54296875" collapsed="false"/>
    <col min="21" max="21" customWidth="true" style="203" width="14.0" collapsed="false"/>
    <col min="22" max="22" customWidth="true" style="203" width="9.26953125" collapsed="false"/>
    <col min="23" max="23" customWidth="true" style="204" width="13.54296875" collapsed="false"/>
    <col min="24" max="24" customWidth="true" style="205" width="13.54296875" collapsed="false"/>
    <col min="25" max="25" bestFit="true" customWidth="true" style="204" width="14.1796875" collapsed="false"/>
    <col min="26" max="26" customWidth="true" style="204" width="13.54296875" collapsed="false"/>
    <col min="27" max="27" customWidth="true" style="205" width="13.54296875" collapsed="false"/>
    <col min="28" max="28" bestFit="true" customWidth="true" style="53" width="14.1796875" collapsed="false"/>
    <col min="29" max="16384" style="52" width="8.7265625" collapsed="false"/>
  </cols>
  <sheetData>
    <row ht="18.5" r="2" spans="2:28" x14ac:dyDescent="0.35">
      <c r="B2" s="4" t="s">
        <v>78</v>
      </c>
      <c r="C2" s="673" t="str">
        <f ca="1">IF(SUM(H:H)=0,"[You Have Not Uploaded a Rent Roll For This Property]","")</f>
        <v>[You Have Not Uploaded a Rent Roll For This Property]</v>
      </c>
      <c r="D2" s="200"/>
      <c r="E2" s="201"/>
      <c r="F2" s="200"/>
      <c r="G2" s="200"/>
      <c r="H2" s="973"/>
      <c r="I2" s="202"/>
      <c r="J2" s="199"/>
      <c r="K2" s="199"/>
      <c r="L2" s="199"/>
      <c r="M2" s="199"/>
      <c r="N2" s="199"/>
      <c r="O2" s="199"/>
      <c r="P2" s="199"/>
    </row>
    <row ht="18.5" r="3" spans="2:28" x14ac:dyDescent="0.35">
      <c r="B3" s="3" t="str">
        <f>IF(LEN("{property.name}")&gt;1,"{property.name}"&amp;" | "&amp;"{property.number_units}"&amp;" Units","{property.number_units}"&amp;" Units")</f>
        <v>{property.name} | {property.number_units} Units</v>
      </c>
      <c r="C3" s="199"/>
      <c r="D3" s="200"/>
      <c r="E3" s="201"/>
      <c r="F3" s="200"/>
      <c r="G3" s="200"/>
      <c r="H3" s="201"/>
      <c r="I3" s="202"/>
      <c r="J3" s="199"/>
      <c r="K3" s="199"/>
      <c r="L3" s="199"/>
      <c r="M3" s="199"/>
      <c r="N3" s="199"/>
      <c r="O3" s="199"/>
      <c r="P3" s="199"/>
      <c r="R3" s="206"/>
    </row>
    <row ht="18.5" r="4" spans="2:28" x14ac:dyDescent="0.35">
      <c r="B4" s="5" t="s">
        <v>0</v>
      </c>
      <c r="C4" s="207"/>
      <c r="D4" s="208"/>
      <c r="E4" s="209"/>
      <c r="F4" s="208"/>
      <c r="G4" s="208"/>
      <c r="H4" s="209"/>
      <c r="I4" s="210"/>
      <c r="J4" s="211"/>
      <c r="K4" s="211"/>
      <c r="L4" s="211"/>
      <c r="M4" s="211"/>
      <c r="N4" s="212"/>
      <c r="O4" s="199"/>
      <c r="P4" s="199"/>
      <c r="W4" s="581"/>
    </row>
    <row ht="18.5" r="5" spans="2:28" x14ac:dyDescent="0.35">
      <c r="B5" s="5"/>
      <c r="C5" s="207"/>
      <c r="D5" s="208"/>
      <c r="E5" s="209"/>
      <c r="F5" s="208"/>
      <c r="G5" s="208"/>
      <c r="H5" s="209"/>
      <c r="I5" s="210"/>
      <c r="J5" s="211"/>
      <c r="K5" s="211"/>
      <c r="L5" s="211"/>
      <c r="M5" s="211"/>
      <c r="N5" s="212"/>
      <c r="O5" s="199"/>
      <c r="P5" s="199"/>
      <c r="V5" s="207"/>
    </row>
    <row ht="18.5" r="6" spans="2:28" x14ac:dyDescent="0.35">
      <c r="B6" s="4" t="s">
        <v>365</v>
      </c>
      <c r="C6" s="207"/>
      <c r="D6" s="208"/>
      <c r="E6" s="209"/>
      <c r="F6" s="208"/>
      <c r="G6" s="208"/>
      <c r="H6" s="209"/>
      <c r="I6" s="210"/>
      <c r="J6" s="211"/>
      <c r="K6" s="211"/>
      <c r="L6" s="211"/>
      <c r="M6" s="211"/>
      <c r="N6" s="212"/>
      <c r="O6" s="199"/>
      <c r="P6" s="199"/>
      <c r="U6" s="4" t="s">
        <v>367</v>
      </c>
      <c r="V6" s="207"/>
      <c r="W6" s="72" t="s">
        <v>35</v>
      </c>
      <c r="X6" s="130"/>
      <c r="Y6" s="72"/>
      <c r="Z6" s="213" t="s">
        <v>36</v>
      </c>
      <c r="AA6" s="214"/>
      <c r="AB6" s="631"/>
    </row>
    <row r="7" spans="2:28" x14ac:dyDescent="0.35">
      <c r="B7" s="215" t="s">
        <v>79</v>
      </c>
      <c r="C7" s="216"/>
      <c r="D7" s="217"/>
      <c r="E7" s="218"/>
      <c r="F7" s="219" t="s">
        <v>80</v>
      </c>
      <c r="G7" s="219" t="s">
        <v>81</v>
      </c>
      <c r="H7" s="218"/>
      <c r="I7" s="220"/>
      <c r="J7" s="221" t="s">
        <v>82</v>
      </c>
      <c r="K7" s="222"/>
      <c r="L7" s="221" t="s">
        <v>83</v>
      </c>
      <c r="M7" s="222"/>
      <c r="N7" s="215" t="s">
        <v>84</v>
      </c>
      <c r="O7" s="216"/>
      <c r="P7" s="216"/>
      <c r="Q7" s="216"/>
      <c r="R7" s="216"/>
      <c r="S7" s="216"/>
      <c r="T7" s="223"/>
      <c r="U7" s="224" t="s">
        <v>366</v>
      </c>
      <c r="V7" s="225" t="s">
        <v>85</v>
      </c>
      <c r="W7" s="580" t="s">
        <v>409</v>
      </c>
      <c r="X7" s="579" t="s">
        <v>46</v>
      </c>
      <c r="Y7" s="580" t="s">
        <v>410</v>
      </c>
      <c r="Z7" s="580" t="s">
        <v>409</v>
      </c>
      <c r="AA7" s="579" t="s">
        <v>46</v>
      </c>
      <c r="AB7" s="580" t="s">
        <v>410</v>
      </c>
    </row>
    <row r="8" spans="2:28" x14ac:dyDescent="0.35">
      <c r="B8" s="226" t="s">
        <v>57</v>
      </c>
      <c r="C8" s="227" t="s">
        <v>86</v>
      </c>
      <c r="D8" s="228" t="s">
        <v>87</v>
      </c>
      <c r="E8" s="229" t="s">
        <v>364</v>
      </c>
      <c r="F8" s="230" t="s">
        <v>35</v>
      </c>
      <c r="G8" s="228" t="s">
        <v>35</v>
      </c>
      <c r="H8" s="231" t="s">
        <v>36</v>
      </c>
      <c r="I8" s="232" t="s">
        <v>88</v>
      </c>
      <c r="J8" s="233" t="s">
        <v>41</v>
      </c>
      <c r="K8" s="234" t="s">
        <v>42</v>
      </c>
      <c r="L8" s="233" t="s">
        <v>41</v>
      </c>
      <c r="M8" s="234" t="s">
        <v>42</v>
      </c>
      <c r="N8" s="235" t="s">
        <v>89</v>
      </c>
      <c r="O8" s="234" t="s">
        <v>85</v>
      </c>
      <c r="P8" s="235" t="s">
        <v>90</v>
      </c>
      <c r="Q8" s="234" t="s">
        <v>85</v>
      </c>
      <c r="R8" s="235" t="s">
        <v>91</v>
      </c>
      <c r="S8" s="234" t="s">
        <v>85</v>
      </c>
      <c r="T8" s="223"/>
      <c r="U8" s="6">
        <f ca="1">EOMONTH(TODAY()-180,0)</f>
        <v>43190</v>
      </c>
      <c r="V8" s="236" t="str">
        <f ca="1"><![CDATA[IF(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0,IF(INDIRECT("U"&ROW()-1)="Lease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f>
        <v/>
      </c>
      <c r="W8" s="684" t="str">
        <f ca="1">IFERROR(AVERAGEIFS(INDEX('Unit Mix'!1:1048576,MATCH("Rent Roll",'Unit Mix'!$B:$B,0)+2,10):INDEX('Unit Mix'!1:1048576,MATCH("Rent Roll",'Unit Mix'!$B:$B,0)+2000,10),INDEX('Unit Mix'!1:1048576,MATCH("Rent Roll",'Unit Mix'!$B:$B,0)+2,9):INDEX('Unit Mix'!1:1048576,MATCH("Rent Roll",'Unit Mix'!$B:$B,0)+2000,9),"&lt;="&amp;INDIRECT("U"&amp;ROW())),"")</f>
        <v/>
      </c>
      <c r="X8" s="685" t="str">
        <f ca="1">IFERROR(AVERAGEIFS(INDEX('Unit Mix'!1:1048576,MATCH("Rent Roll",'Unit Mix'!$B:$B,0)+2,11):INDEX('Unit Mix'!1:1048576,MATCH("Rent Roll",'Unit Mix'!$B:$B,0)+2000,11),INDEX('Unit Mix'!1:1048576,MATCH("Rent Roll",'Unit Mix'!$B:$B,0)+2,9):INDEX('Unit Mix'!1:1048576,MATCH("Rent Roll",'Unit Mix'!$B:$B,0)+2000,9),"&lt;="&amp;INDIRECT("U"&amp;ROW())),"")</f>
        <v/>
      </c>
      <c r="Y8" s="686" t="str">
        <f ca="1" ref="Y8:Y30" si="0" t="shared">IFERROR(INDIRECT("V"&amp;ROW())*INDIRECT("W"&amp;ROW()),"")</f>
        <v/>
      </c>
      <c r="Z8" s="687" t="str">
        <f ca="1">IFERROR(AVERAGEIFS(INDEX('Unit Mix'!1:1048576,MATCH("Rent Roll",'Unit Mix'!$B:$B,0)+2,12):INDEX('Unit Mix'!1:1048576,MATCH("Rent Roll",'Unit Mix'!$B:$B,0)+2000,12),INDEX('Unit Mix'!1:1048576,MATCH("Rent Roll",'Unit Mix'!$B:$B,0)+2,9):INDEX('Unit Mix'!1:1048576,MATCH("Rent Roll",'Unit Mix'!$B:$B,0)+2000,9),"&lt;="&amp;INDIRECT("U"&amp;ROW())),"")</f>
        <v/>
      </c>
      <c r="AA8" s="688" t="str">
        <f ca="1">IFERROR(AVERAGEIFS(INDEX('Unit Mix'!1:1048576,MATCH("Rent Roll",'Unit Mix'!$B:$B,0)+2,13):INDEX('Unit Mix'!1:1048576,MATCH("Rent Roll",'Unit Mix'!$B:$B,0)+2000,13),INDEX('Unit Mix'!1:1048576,MATCH("Rent Roll",'Unit Mix'!$B:$B,0)+2,9):INDEX('Unit Mix'!1:1048576,MATCH("Rent Roll",'Unit Mix'!$B:$B,0)+2000,9),"&lt;="&amp;INDIRECT("U"&amp;ROW())),"")</f>
        <v/>
      </c>
      <c r="AB8" s="689" t="str">
        <f ca="1" ref="AB8:AB30" si="1" t="shared">IFERROR(INDIRECT("V"&amp;ROW())*INDIRECT("Z"&amp;ROW()),"")</f>
        <v/>
      </c>
    </row>
    <row r="9" spans="2:28" x14ac:dyDescent="0.35">
      <c r="B9" s="237" t="s">
        <v>92</v>
      </c>
      <c r="C9" s="238" t="s">
        <v>50</v>
      </c>
      <c r="D9" s="239" t="str">
        <f ca="1">IFERROR(INDIRECT("C"&amp;ROW())/"{property.number_units}","")</f>
        <v/>
      </c>
      <c r="E9" s="98" t="s">
        <v>48</v>
      </c>
      <c r="F9" s="240" t="s">
        <v>51</v>
      </c>
      <c r="G9" s="241" t="str">
        <f ca="1">IFERROR(IF(AVERAGEIFS(INDEX('Unit Mix'!1:1048576,MATCH("Rent Roll",'Unit Mix'!B:B,0)+2,10):INDEX('Unit Mix'!1:1048576,MATCH("Rent Roll",'Unit Mix'!B:B,0)+2000,10),INDEX('Unit Mix'!1:1048576,MATCH("Rent Roll",'Unit Mix'!B:B,0)+2,6):INDEX('Unit Mix'!1:1048576,MATCH("Rent Roll",'Unit Mix'!B:B,0)+2000,6),1,INDEX('Unit Mix'!1:1048576,MATCH("Rent Roll",'Unit Mix'!B:B,0)+2,3):INDEX('Unit Mix'!1:1048576,MATCH("Rent Roll",'Unit Mix'!B:B,0)+2000,3),INDIRECT("B"&amp;ROW()))&gt;0,AVERAGEIFS(INDEX('Unit Mix'!1:1048576,MATCH("Rent Roll",'Unit Mix'!B:B,0)+2,10):INDEX('Unit Mix'!1:1048576,MATCH("Rent Roll",'Unit Mix'!B:B,0)+2000,10),INDEX('Unit Mix'!1:1048576,MATCH("Rent Roll",'Unit Mix'!B:B,0)+2,6):INDEX('Unit Mix'!1:1048576,MATCH("Rent Roll",'Unit Mix'!B:B,0)+2000,6),1,INDEX('Unit Mix'!1:1048576,MATCH("Rent Roll",'Unit Mix'!B:B,0)+2,3):INDEX('Unit Mix'!1:1048576,MATCH("Rent Roll",'Unit Mix'!B:B,0)+2000,3),INDIRECT("B"&amp;ROW())),0),"")</f>
        <v/>
      </c>
      <c r="H9" s="242" t="str">
        <f ca="1">IFERROR(IF(AVERAGEIFS(INDEX('Unit Mix'!1:1048576,MATCH("Rent Roll",'Unit Mix'!B:B,0)+2,12):INDEX('Unit Mix'!1:1048576,MATCH("Rent Roll",'Unit Mix'!B:B,0)+2000,12),INDEX('Unit Mix'!1:1048576,MATCH("Rent Roll",'Unit Mix'!B:B,0)+2,6):INDEX('Unit Mix'!1:1048576,MATCH("Rent Roll",'Unit Mix'!B:B,0)+2000,6),1,INDEX('Unit Mix'!1:1048576,MATCH("Rent Roll",'Unit Mix'!B:B,0)+2,3):INDEX('Unit Mix'!1:1048576,MATCH("Rent Roll",'Unit Mix'!B:B,0)+2000,3),INDIRECT("B"&amp;ROW()))&gt;0,AVERAGEIFS(INDEX('Unit Mix'!1:1048576,MATCH("Rent Roll",'Unit Mix'!B:B,0)+2,12):INDEX('Unit Mix'!1:1048576,MATCH("Rent Roll",'Unit Mix'!B:B,0)+2000,12),INDEX('Unit Mix'!1:1048576,MATCH("Rent Roll",'Unit Mix'!B:B,0)+2,6):INDEX('Unit Mix'!1:1048576,MATCH("Rent Roll",'Unit Mix'!B:B,0)+2000,6),1,INDEX('Unit Mix'!1:1048576,MATCH("Rent Roll",'Unit Mix'!B:B,0)+2,3):INDEX('Unit Mix'!1:1048576,MATCH("Rent Roll",'Unit Mix'!B:B,0)+2000,3),INDIRECT("B"&amp;ROW())),0),"")</f>
        <v/>
      </c>
      <c r="I9" s="243" t="str">
        <f ca="1">IFERROR(INDIRECT("H"&amp;ROW())/INDIRECT("G"&amp;ROW()),"")</f>
        <v/>
      </c>
      <c r="J9" s="244">
        <f ca="1">COUNTIFS(INDEX('Unit Mix'!1:1048576,MATCH("Rent Roll",'Unit Mix'!B:B,0)+2,6):INDEX('Unit Mix'!1:1048576,MATCH("Rent Roll",'Unit Mix'!B:B,0)+2000,6),1,INDEX('Unit Mix'!1:1048576,MATCH("Rent Roll",'Unit Mix'!B:B,0)+2,3):INDEX('Unit Mix'!1:1048576,MATCH("Rent Roll",'Unit Mix'!B:B,0)+2000,3),INDIRECT("B"&amp;ROW()))</f>
        <v>0</v>
      </c>
      <c r="K9" s="245" t="str">
        <f ca="1">IFERROR(INDIRECT("C"&amp;ROW())-INDIRECT("J"&amp;ROW()),"")</f>
        <v/>
      </c>
      <c r="L9" s="246" t="str">
        <f ca="1">IFERROR(INDIRECT("J"&amp;ROW())/SUM(INDIRECT("J"&amp;ROW()):INDIRECT("K"&amp;ROW())),"")</f>
        <v/>
      </c>
      <c r="M9" s="243" t="str">
        <f ca="1">IFERROR(INDIRECT("K"&amp;ROW())/SUM(INDIRECT("J"&amp;ROW()):INDIRECT("K"&amp;ROW())),"")</f>
        <v/>
      </c>
      <c r="N9" s="247" t="str">
        <f ca="1">IFERROR(AVERAGEIFS(INDEX('Unit Mix'!1:1048576,MATCH("Rent Roll",'Unit Mix'!B:B,0)+2,12):INDEX('Unit Mix'!1:1048576,MATCH("Rent Roll",'Unit Mix'!B:B,0)+2000,12),INDEX('Unit Mix'!1:1048576,MATCH("Rent Roll",'Unit Mix'!B:B,0)+2,8):INDEX('Unit Mix'!1:1048576,MATCH("Rent Roll",'Unit Mix'!B:B,0)+2000,8),"&gt;"&amp;TODAY()-90,INDEX('Unit Mix'!1:1048576,MATCH("Rent Roll",'Unit Mix'!B:B,0)+2,3):INDEX('Unit Mix'!1:1048576,MATCH("Rent Roll",'Unit Mix'!B:B,0)+2000,3),INDIRECT("B"&amp;ROW())),"")</f>
        <v/>
      </c>
      <c r="O9" s="248">
        <f ca="1">IFERROR(COUNTIFS(INDEX('Unit Mix'!1:1048576,MATCH("Rent Roll",'Unit Mix'!B:B,0)+2,8):INDEX('Unit Mix'!1:1048576,MATCH("Rent Roll",'Unit Mix'!B:B,0)+2000,8),"&gt;"&amp;TODAY()-90,INDEX('Unit Mix'!1:1048576,MATCH("Rent Roll",'Unit Mix'!B:B,0)+2,3):INDEX('Unit Mix'!1:1048576,MATCH("Rent Roll",'Unit Mix'!B:B,0)+2000,3),INDIRECT("B"&amp;ROW())),"")</f>
        <v>0</v>
      </c>
      <c r="P9" s="247" t="str">
        <f ca="1">IFERROR(AVERAGEIFS(INDEX('Unit Mix'!1:1048576,MATCH("Rent Roll",'Unit Mix'!B:B,0)+2,12):INDEX('Unit Mix'!1:1048576,MATCH("Rent Roll",'Unit Mix'!B:B,0)+2000,12),INDEX('Unit Mix'!1:1048576,MATCH("Rent Roll",'Unit Mix'!B:B,0)+2,8):INDEX('Unit Mix'!1:1048576,MATCH("Rent Roll",'Unit Mix'!B:B,0)+2000,8),"&gt;"&amp;TODAY()-60,INDEX('Unit Mix'!1:1048576,MATCH("Rent Roll",'Unit Mix'!B:B,0)+2,3):INDEX('Unit Mix'!1:1048576,MATCH("Rent Roll",'Unit Mix'!B:B,0)+2000,3),INDIRECT("B"&amp;ROW())),"")</f>
        <v/>
      </c>
      <c r="Q9" s="248">
        <f ca="1">IFERROR(COUNTIFS(INDEX('Unit Mix'!1:1048576,MATCH("Rent Roll",'Unit Mix'!B:B,0)+2,8):INDEX('Unit Mix'!1:1048576,MATCH("Rent Roll",'Unit Mix'!B:B,0)+2000,8),"&gt;"&amp;TODAY()-60,INDEX('Unit Mix'!1:1048576,MATCH("Rent Roll",'Unit Mix'!B:B,0)+2,3):INDEX('Unit Mix'!1:1048576,MATCH("Rent Roll",'Unit Mix'!B:B,0)+2000,3),INDIRECT("B"&amp;ROW())),"")</f>
        <v>0</v>
      </c>
      <c r="R9" s="247" t="str">
        <f ca="1">IFERROR(AVERAGEIFS(INDEX('Unit Mix'!1:1048576,MATCH("Rent Roll",'Unit Mix'!B:B,0)+2,12):INDEX('Unit Mix'!1:1048576,MATCH("Rent Roll",'Unit Mix'!B:B,0)+2000,12),INDEX('Unit Mix'!1:1048576,MATCH("Rent Roll",'Unit Mix'!B:B,0)+2,8):INDEX('Unit Mix'!1:1048576,MATCH("Rent Roll",'Unit Mix'!B:B,0)+2000,8),"&gt;"&amp;TODAY()-30,INDEX('Unit Mix'!1:1048576,MATCH("Rent Roll",'Unit Mix'!B:B,0)+2,3):INDEX('Unit Mix'!1:1048576,MATCH("Rent Roll",'Unit Mix'!B:B,0)+2000,3),INDIRECT("B"&amp;ROW())),"")</f>
        <v/>
      </c>
      <c r="S9" s="248">
        <f ca="1">IFERROR(COUNTIFS(INDEX('Unit Mix'!1:1048576,MATCH("Rent Roll",'Unit Mix'!B:B,0)+2,8):INDEX('Unit Mix'!1:1048576,MATCH("Rent Roll",'Unit Mix'!B:B,0)+2000,8),"&gt;"&amp;TODAY()-30,INDEX('Unit Mix'!1:1048576,MATCH("Rent Roll",'Unit Mix'!B:B,0)+2,3):INDEX('Unit Mix'!1:1048576,MATCH("Rent Roll",'Unit Mix'!B:B,0)+2000,3),INDIRECT("B"&amp;ROW())),"")</f>
        <v>0</v>
      </c>
      <c r="T9" s="223"/>
      <c r="U9" s="6">
        <f ca="1" ref="U9:U30" si="2" t="shared">IFERROR(EOMONTH(INDIRECT("U"&amp;ROW()-1),1),"")</f>
        <v>43220</v>
      </c>
      <c r="V9" s="236" t="str">
        <f ca="1"><![CDATA[IF(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0,IF(INDIRECT("U"&ROW()-1)="Lease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f>
        <v/>
      </c>
      <c r="W9"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9"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9" s="686" t="str">
        <f ca="1" si="0" t="shared"/>
        <v/>
      </c>
      <c r="Z9"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9"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9" s="686" t="str">
        <f ca="1" si="1" t="shared"/>
        <v/>
      </c>
    </row>
    <row r="10" spans="2:28" x14ac:dyDescent="0.35">
      <c r="B10" s="249"/>
      <c r="C10" s="249"/>
      <c r="D10" s="250"/>
      <c r="E10" s="251"/>
      <c r="F10" s="250"/>
      <c r="G10" s="250"/>
      <c r="H10" s="251"/>
      <c r="I10" s="252"/>
      <c r="J10" s="249"/>
      <c r="K10" s="249"/>
      <c r="L10" s="249"/>
      <c r="M10" s="249"/>
      <c r="N10" s="249"/>
      <c r="O10" s="249"/>
      <c r="P10" s="249"/>
      <c r="Q10" s="249"/>
      <c r="R10" s="249"/>
      <c r="S10" s="249"/>
      <c r="U10" s="6">
        <f ca="1" si="2" t="shared"/>
        <v>43251</v>
      </c>
      <c r="V10" s="236" t="str">
        <f ca="1"><![CDATA[IF(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0,IF(INDIRECT("U"&ROW()-1)="Lease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f>
        <v/>
      </c>
      <c r="W10"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10"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10" s="686" t="str">
        <f ca="1" si="0" t="shared"/>
        <v/>
      </c>
      <c r="Z10"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10"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10" s="686" t="str">
        <f ca="1" si="1" t="shared"/>
        <v/>
      </c>
    </row>
    <row r="11" spans="2:28" x14ac:dyDescent="0.35">
      <c r="U11" s="6">
        <f ca="1" si="2" t="shared"/>
        <v>43281</v>
      </c>
      <c r="V11" s="236" t="str">
        <f ca="1"><![CDATA[IF(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0,IF(INDIRECT("U"&ROW()-1)="Lease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f>
        <v/>
      </c>
      <c r="W11"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11"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11" s="686" t="str">
        <f ca="1" si="0" t="shared"/>
        <v/>
      </c>
      <c r="Z11"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11"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11" s="686" t="str">
        <f ca="1" si="1" t="shared"/>
        <v/>
      </c>
    </row>
    <row r="12" spans="2:28" x14ac:dyDescent="0.35">
      <c r="U12" s="6">
        <f ca="1" si="2" t="shared"/>
        <v>43312</v>
      </c>
      <c r="V12" s="236" t="str">
        <f ca="1"><![CDATA[IF(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0,IF(INDIRECT("U"&ROW()-1)="Lease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f>
        <v/>
      </c>
      <c r="W12"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12"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12" s="686" t="str">
        <f ca="1" si="0" t="shared"/>
        <v/>
      </c>
      <c r="Z12"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12"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12" s="686" t="str">
        <f ca="1" si="1" t="shared"/>
        <v/>
      </c>
    </row>
    <row r="13" spans="2:28" x14ac:dyDescent="0.35">
      <c r="U13" s="6">
        <f ca="1" si="2" t="shared"/>
        <v>43343</v>
      </c>
      <c r="V13" s="236" t="str">
        <f ca="1"><![CDATA[IF(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0,IF(INDIRECT("U"&ROW()-1)="Lease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f>
        <v/>
      </c>
      <c r="W13"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13"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13" s="686" t="str">
        <f ca="1" si="0" t="shared"/>
        <v/>
      </c>
      <c r="Z13"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13"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13" s="686" t="str">
        <f ca="1" si="1" t="shared"/>
        <v/>
      </c>
    </row>
    <row r="14" spans="2:28" x14ac:dyDescent="0.35">
      <c r="U14" s="6">
        <f ca="1" si="2" t="shared"/>
        <v>43373</v>
      </c>
      <c r="V14" s="236" t="str">
        <f ca="1"><![CDATA[IF(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0,IF(INDIRECT("U"&ROW()-1)="Lease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f>
        <v/>
      </c>
      <c r="W14"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14"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14" s="686" t="str">
        <f ca="1" si="0" t="shared"/>
        <v/>
      </c>
      <c r="Z14"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14"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14" s="686" t="str">
        <f ca="1" si="1" t="shared"/>
        <v/>
      </c>
    </row>
    <row r="15" spans="2:28" x14ac:dyDescent="0.35">
      <c r="U15" s="6">
        <f ca="1" si="2" t="shared"/>
        <v>43404</v>
      </c>
      <c r="V15" s="236" t="str">
        <f ca="1"><![CDATA[IF(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0,IF(INDIRECT("U"&ROW()-1)="Lease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f>
        <v/>
      </c>
      <c r="W15"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15"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15" s="686" t="str">
        <f ca="1" si="0" t="shared"/>
        <v/>
      </c>
      <c r="Z15"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15"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15" s="686" t="str">
        <f ca="1" si="1" t="shared"/>
        <v/>
      </c>
    </row>
    <row r="16" spans="2:28" x14ac:dyDescent="0.35">
      <c r="U16" s="6">
        <f ca="1" si="2" t="shared"/>
        <v>43434</v>
      </c>
      <c r="V16" s="236" t="str">
        <f ca="1"><![CDATA[IF(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0,IF(INDIRECT("U"&ROW()-1)="Lease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f>
        <v/>
      </c>
      <c r="W16"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16"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16" s="686" t="str">
        <f ca="1" si="0" t="shared"/>
        <v/>
      </c>
      <c r="Z16"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16"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16" s="686" t="str">
        <f ca="1" si="1" t="shared"/>
        <v/>
      </c>
    </row>
    <row r="17" spans="21:28" x14ac:dyDescent="0.35">
      <c r="U17" s="6">
        <f ca="1" si="2" t="shared"/>
        <v>43465</v>
      </c>
      <c r="V17" s="236" t="str">
        <f ca="1"><![CDATA[IF(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0,IF(INDIRECT("U"&ROW()-1)="Lease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f>
        <v/>
      </c>
      <c r="W17"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17"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17" s="686" t="str">
        <f ca="1" si="0" t="shared"/>
        <v/>
      </c>
      <c r="Z17"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17"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17" s="686" t="str">
        <f ca="1" si="1" t="shared"/>
        <v/>
      </c>
    </row>
    <row r="18" spans="21:28" x14ac:dyDescent="0.35">
      <c r="U18" s="6">
        <f ca="1" si="2" t="shared"/>
        <v>43496</v>
      </c>
      <c r="V18" s="236" t="str">
        <f ca="1"><![CDATA[IF(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0,IF(INDIRECT("U"&ROW()-1)="Lease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f>
        <v/>
      </c>
      <c r="W18"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18"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18" s="686" t="str">
        <f ca="1" si="0" t="shared"/>
        <v/>
      </c>
      <c r="Z18"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18"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18" s="686" t="str">
        <f ca="1" si="1" t="shared"/>
        <v/>
      </c>
    </row>
    <row r="19" spans="21:28" x14ac:dyDescent="0.35">
      <c r="U19" s="6">
        <f ca="1" si="2" t="shared"/>
        <v>43524</v>
      </c>
      <c r="V19" s="236" t="str">
        <f ca="1"><![CDATA[IF(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0,IF(INDIRECT("U"&ROW()-1)="Lease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f>
        <v/>
      </c>
      <c r="W19"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19"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19" s="686" t="str">
        <f ca="1" si="0" t="shared"/>
        <v/>
      </c>
      <c r="Z19"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19"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19" s="686" t="str">
        <f ca="1" si="1" t="shared"/>
        <v/>
      </c>
    </row>
    <row r="20" spans="21:28" x14ac:dyDescent="0.35">
      <c r="U20" s="6">
        <f ca="1" si="2" t="shared"/>
        <v>43555</v>
      </c>
      <c r="V20" s="236" t="str">
        <f ca="1"><![CDATA[IF(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0,IF(INDIRECT("U"&ROW()-1)="Lease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f>
        <v/>
      </c>
      <c r="W20"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20"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20" s="686" t="str">
        <f ca="1" si="0" t="shared"/>
        <v/>
      </c>
      <c r="Z20"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20"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20" s="686" t="str">
        <f ca="1" si="1" t="shared"/>
        <v/>
      </c>
    </row>
    <row r="21" spans="21:28" x14ac:dyDescent="0.35">
      <c r="U21" s="6">
        <f ca="1" si="2" t="shared"/>
        <v>43585</v>
      </c>
      <c r="V21" s="236" t="str">
        <f ca="1"><![CDATA[IF(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0,IF(INDIRECT("U"&ROW()-1)="Lease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f>
        <v/>
      </c>
      <c r="W21"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21"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21" s="686" t="str">
        <f ca="1" si="0" t="shared"/>
        <v/>
      </c>
      <c r="Z21"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21"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21" s="686" t="str">
        <f ca="1" si="1" t="shared"/>
        <v/>
      </c>
    </row>
    <row r="22" spans="21:28" x14ac:dyDescent="0.35">
      <c r="U22" s="6">
        <f ca="1" si="2" t="shared"/>
        <v>43616</v>
      </c>
      <c r="V22" s="236" t="str">
        <f ca="1"><![CDATA[IF(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0,IF(INDIRECT("U"&ROW()-1)="Lease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f>
        <v/>
      </c>
      <c r="W22"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22"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22" s="686" t="str">
        <f ca="1" si="0" t="shared"/>
        <v/>
      </c>
      <c r="Z22"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22"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22" s="686" t="str">
        <f ca="1" si="1" t="shared"/>
        <v/>
      </c>
    </row>
    <row r="23" spans="21:28" x14ac:dyDescent="0.35">
      <c r="U23" s="6">
        <f ca="1" si="2" t="shared"/>
        <v>43646</v>
      </c>
      <c r="V23" s="236" t="str">
        <f ca="1"><![CDATA[IF(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0,IF(INDIRECT("U"&ROW()-1)="Lease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f>
        <v/>
      </c>
      <c r="W23"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23"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23" s="686" t="str">
        <f ca="1" si="0" t="shared"/>
        <v/>
      </c>
      <c r="Z23"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23"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23" s="686" t="str">
        <f ca="1" si="1" t="shared"/>
        <v/>
      </c>
    </row>
    <row r="24" spans="21:28" x14ac:dyDescent="0.35">
      <c r="U24" s="6">
        <f ca="1" si="2" t="shared"/>
        <v>43677</v>
      </c>
      <c r="V24" s="236" t="str">
        <f ca="1"><![CDATA[IF(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0,IF(INDIRECT("U"&ROW()-1)="Lease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f>
        <v/>
      </c>
      <c r="W24"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24"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24" s="686" t="str">
        <f ca="1" si="0" t="shared"/>
        <v/>
      </c>
      <c r="Z24"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24"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24" s="686" t="str">
        <f ca="1" si="1" t="shared"/>
        <v/>
      </c>
    </row>
    <row r="25" spans="21:28" x14ac:dyDescent="0.35">
      <c r="U25" s="6">
        <f ca="1" si="2" t="shared"/>
        <v>43708</v>
      </c>
      <c r="V25" s="236" t="str">
        <f ca="1"><![CDATA[IF(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0,IF(INDIRECT("U"&ROW()-1)="Lease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f>
        <v/>
      </c>
      <c r="W25"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25"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25" s="686" t="str">
        <f ca="1" si="0" t="shared"/>
        <v/>
      </c>
      <c r="Z25"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25"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25" s="686" t="str">
        <f ca="1" si="1" t="shared"/>
        <v/>
      </c>
    </row>
    <row r="26" spans="21:28" x14ac:dyDescent="0.35">
      <c r="U26" s="6">
        <f ca="1" si="2" t="shared"/>
        <v>43738</v>
      </c>
      <c r="V26" s="236" t="str">
        <f ca="1"><![CDATA[IF(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0,IF(INDIRECT("U"&ROW()-1)="Lease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f>
        <v/>
      </c>
      <c r="W26"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26"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26" s="686" t="str">
        <f ca="1" si="0" t="shared"/>
        <v/>
      </c>
      <c r="Z26"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26"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26" s="686" t="str">
        <f ca="1" si="1" t="shared"/>
        <v/>
      </c>
    </row>
    <row r="27" spans="21:28" x14ac:dyDescent="0.35">
      <c r="U27" s="6">
        <f ca="1" si="2" t="shared"/>
        <v>43769</v>
      </c>
      <c r="V27" s="236" t="str">
        <f ca="1"><![CDATA[IF(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0,IF(INDIRECT("U"&ROW()-1)="Lease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f>
        <v/>
      </c>
      <c r="W27"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27"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27" s="686" t="str">
        <f ca="1" si="0" t="shared"/>
        <v/>
      </c>
      <c r="Z27"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27"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27" s="686" t="str">
        <f ca="1" si="1" t="shared"/>
        <v/>
      </c>
    </row>
    <row r="28" spans="21:28" x14ac:dyDescent="0.35">
      <c r="U28" s="6">
        <f ca="1" si="2" t="shared"/>
        <v>43799</v>
      </c>
      <c r="V28" s="236" t="str">
        <f ca="1"><![CDATA[IF(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0,IF(INDIRECT("U"&ROW()-1)="Lease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f>
        <v/>
      </c>
      <c r="W28"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28"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28" s="686" t="str">
        <f ca="1" si="0" t="shared"/>
        <v/>
      </c>
      <c r="Z28"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28"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28" s="686" t="str">
        <f ca="1" si="1" t="shared"/>
        <v/>
      </c>
    </row>
    <row r="29" spans="21:28" x14ac:dyDescent="0.35">
      <c r="U29" s="6">
        <f ca="1" si="2" t="shared"/>
        <v>43830</v>
      </c>
      <c r="V29" s="236" t="str">
        <f ca="1"><![CDATA[IF(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0,IF(INDIRECT("U"&ROW()-1)="Lease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f>
        <v/>
      </c>
      <c r="W29" s="684"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29" s="685"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29" s="686" t="str">
        <f ca="1" si="0" t="shared"/>
        <v/>
      </c>
      <c r="Z29" s="684"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29" s="685"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29" s="686" t="str">
        <f ca="1" si="1" t="shared"/>
        <v/>
      </c>
    </row>
    <row r="30" spans="21:28" x14ac:dyDescent="0.35">
      <c r="U30" s="7">
        <f ca="1" si="2" t="shared"/>
        <v>43861</v>
      </c>
      <c r="V30" s="256" t="str">
        <f ca="1"><![CDATA[IF(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0,IF(INDIRECT("U"&ROW()-1)="Lease Expiration Month",COUNTIF(INDEX('Unit Mix'!1:1048576,MATCH("Rent Roll",'Unit Mix'!B:B,0)+2,8):INDEX('Unit Mix'!1:1048576,MATCH("Rent Roll",'Unit Mix'!B:B,0)+2000,9),"<="&INDIRECT("U"&ROW())),COUNTIFS(INDEX('Unit Mix'!1:1048576,MATCH("Rent Roll",'Unit Mix'!B:B,0)+2,8):INDEX('Unit Mix'!1:1048576,MATCH("Rent Roll",'Unit Mix'!B:B,0)+2000,9),"<="&INDIRECT("U"&ROW()),INDEX('Unit Mix'!1:1048576,MATCH("Rent Roll",'Unit Mix'!B:B,0)+2,8):INDEX('Unit Mix'!1:1048576,MATCH("Rent Roll",'Unit Mix'!B:B,0)+2000,9),">"&INDIRECT("U"&ROW()-1))),"")]]></f>
        <v/>
      </c>
      <c r="W30" s="690" t="str">
        <f ca="1">IFERROR(AVERAGEIFS(INDEX('Unit Mix'!1:1048576,MATCH("Rent Roll",'Unit Mix'!$B:$B,0)+2,10):INDEX('Unit Mix'!1:1048576,MATCH("Rent Roll",'Unit Mix'!$B:$B,0)+2000,10),INDEX('Unit Mix'!1:1048576,MATCH("Rent Roll",'Unit Mix'!$B:$B,0)+2,9):INDEX('Unit Mix'!1:1048576,MATCH("Rent Roll",'Unit Mix'!$B:$B,0)+2000,9),"&lt;="&amp;INDIRECT("U"&amp;ROW()),INDEX('Unit Mix'!1:1048576,MATCH("Rent Roll",'Unit Mix'!$B:$B,0)+2,9):INDEX('Unit Mix'!1:1048576,MATCH("Rent Roll",'Unit Mix'!$B:$B,0)+2000,9),"&gt;"&amp;INDIRECT("U"&amp;ROW()-1)),"")</f>
        <v/>
      </c>
      <c r="X30" s="691" t="str">
        <f ca="1">IFERROR(AVERAGEIFS(INDEX('Unit Mix'!1:1048576,MATCH("Rent Roll",'Unit Mix'!$B:$B,0)+2,11):INDEX('Unit Mix'!1:1048576,MATCH("Rent Roll",'Unit Mix'!$B:$B,0)+2000,11),INDEX('Unit Mix'!1:1048576,MATCH("Rent Roll",'Unit Mix'!$B:$B,0)+2,9):INDEX('Unit Mix'!1:1048576,MATCH("Rent Roll",'Unit Mix'!$B:$B,0)+2000,9),"&lt;="&amp;INDIRECT("U"&amp;ROW()),INDEX('Unit Mix'!1:1048576,MATCH("Rent Roll",'Unit Mix'!$B:$B,0)+2,9):INDEX('Unit Mix'!1:1048576,MATCH("Rent Roll",'Unit Mix'!$B:$B,0)+2000,9),"&gt;"&amp;INDIRECT("U"&amp;ROW()-1)),"")</f>
        <v/>
      </c>
      <c r="Y30" s="692" t="str">
        <f ca="1" si="0" t="shared"/>
        <v/>
      </c>
      <c r="Z30" s="690" t="str">
        <f ca="1">IFERROR(AVERAGEIFS(INDEX('Unit Mix'!1:1048576,MATCH("Rent Roll",'Unit Mix'!$B:$B,0)+2,12):INDEX('Unit Mix'!1:1048576,MATCH("Rent Roll",'Unit Mix'!$B:$B,0)+2000,12),INDEX('Unit Mix'!1:1048576,MATCH("Rent Roll",'Unit Mix'!$B:$B,0)+2,9):INDEX('Unit Mix'!1:1048576,MATCH("Rent Roll",'Unit Mix'!$B:$B,0)+2000,9),"&lt;="&amp;INDIRECT("U"&amp;ROW()),INDEX('Unit Mix'!1:1048576,MATCH("Rent Roll",'Unit Mix'!$B:$B,0)+2,9):INDEX('Unit Mix'!1:1048576,MATCH("Rent Roll",'Unit Mix'!$B:$B,0)+2000,9),"&gt;"&amp;INDIRECT("U"&amp;ROW()-1)),"")</f>
        <v/>
      </c>
      <c r="AA30" s="691" t="str">
        <f ca="1">IFERROR(AVERAGEIFS(INDEX('Unit Mix'!1:1048576,MATCH("Rent Roll",'Unit Mix'!$B:$B,0)+2,13):INDEX('Unit Mix'!1:1048576,MATCH("Rent Roll",'Unit Mix'!$B:$B,0)+2000,13),INDEX('Unit Mix'!1:1048576,MATCH("Rent Roll",'Unit Mix'!$B:$B,0)+2,9):INDEX('Unit Mix'!1:1048576,MATCH("Rent Roll",'Unit Mix'!$B:$B,0)+2000,9),"&lt;="&amp;INDIRECT("U"&amp;ROW()),INDEX('Unit Mix'!1:1048576,MATCH("Rent Roll",'Unit Mix'!$B:$B,0)+2,9):INDEX('Unit Mix'!1:1048576,MATCH("Rent Roll",'Unit Mix'!$B:$B,0)+2000,9),"&gt;"&amp;INDIRECT("U"&amp;ROW()-1)),"")</f>
        <v/>
      </c>
      <c r="AB30" s="692" t="str">
        <f ca="1" si="1" t="shared"/>
        <v/>
      </c>
    </row>
    <row r="33" spans="21:21" x14ac:dyDescent="0.35">
      <c r="U33" s="586"/>
    </row>
    <row r="34" spans="21:21" x14ac:dyDescent="0.35">
      <c r="U34" s="586"/>
    </row>
  </sheetData>
  <conditionalFormatting sqref="V8:V30">
    <cfRule priority="3" type="colorScale">
      <colorScale>
        <cfvo type="min"/>
        <cfvo type="percentile" val="50"/>
        <cfvo type="max"/>
        <color rgb="FF63BE7B"/>
        <color rgb="FFFFEB84"/>
        <color rgb="FFF8696B"/>
      </colorScale>
    </cfRule>
  </conditionalFormatting>
  <conditionalFormatting sqref="Y8:Y30">
    <cfRule priority="2" type="colorScale">
      <colorScale>
        <cfvo type="min"/>
        <cfvo type="percentile" val="50"/>
        <cfvo type="max"/>
        <color rgb="FF63BE7B"/>
        <color rgb="FFFFEB84"/>
        <color rgb="FFF8696B"/>
      </colorScale>
    </cfRule>
  </conditionalFormatting>
  <conditionalFormatting sqref="AB8:AB30">
    <cfRule priority="1" type="colorScale">
      <colorScale>
        <cfvo type="min"/>
        <cfvo type="percentile" val="50"/>
        <cfvo type="max"/>
        <color rgb="FF63BE7B"/>
        <color rgb="FFFFEB84"/>
        <color rgb="FFF8696B"/>
      </colorScale>
    </cfRule>
  </conditionalFormatting>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C43C1-2A42-4706-A0C1-51B3487C5D24}">
  <dimension ref="A1:I68"/>
  <sheetViews>
    <sheetView workbookViewId="0" zoomScaleNormal="100">
      <selection activeCell="H15" sqref="H15"/>
    </sheetView>
  </sheetViews>
  <sheetFormatPr defaultColWidth="8.7265625" defaultRowHeight="14.5" x14ac:dyDescent="0.35"/>
  <cols>
    <col min="1" max="1" customWidth="true" style="19" width="2.7265625" collapsed="false"/>
    <col min="2" max="2" customWidth="true" style="19" width="28.54296875" collapsed="false"/>
    <col min="3" max="3" customWidth="true" style="19" width="18.81640625" collapsed="false"/>
    <col min="4" max="4" customWidth="true" style="19" width="17.0" collapsed="false"/>
    <col min="5" max="5" customWidth="true" style="19" width="13.54296875" collapsed="false"/>
    <col min="6" max="6" customWidth="true" style="80" width="24.26953125" collapsed="false"/>
    <col min="7" max="7" customWidth="true" style="165" width="23.54296875" collapsed="false"/>
    <col min="8" max="124" customWidth="true" style="258" width="23.54296875" collapsed="false"/>
    <col min="125" max="16384" style="258" width="8.7265625" collapsed="false"/>
  </cols>
  <sheetData>
    <row r="1" spans="1:7" x14ac:dyDescent="0.35">
      <c r="A1" s="58"/>
      <c r="B1" s="58"/>
      <c r="C1" s="58"/>
      <c r="D1" s="58"/>
      <c r="E1" s="58"/>
      <c r="F1" s="65"/>
      <c r="G1" s="257"/>
    </row>
    <row ht="18.5" r="2" spans="1:7" x14ac:dyDescent="0.35">
      <c r="A2" s="58"/>
      <c r="B2" s="2" t="s">
        <v>378</v>
      </c>
      <c r="C2" s="673"/>
      <c r="D2" s="58"/>
      <c r="E2" s="58"/>
      <c r="F2" s="65"/>
      <c r="G2" s="257"/>
    </row>
    <row ht="18.5" r="3" spans="1:7" x14ac:dyDescent="0.35">
      <c r="A3" s="58"/>
      <c r="B3" s="3" t="str">
        <f>IF(LEN("{property.name}")&gt;1,"{property.name}"&amp;" | "&amp;"{property.number_units}"&amp;" Units","{property.number_units}"&amp;" Units")</f>
        <v>{property.name} | {property.number_units} Units</v>
      </c>
      <c r="C3" s="3"/>
      <c r="D3" s="58"/>
      <c r="E3" s="58"/>
      <c r="F3" s="65"/>
      <c r="G3" s="257"/>
    </row>
    <row ht="18.5" r="4" spans="1:7" x14ac:dyDescent="0.35">
      <c r="A4" s="58"/>
      <c r="B4" s="3" t="s">
        <v>0</v>
      </c>
      <c r="C4" s="3"/>
      <c r="D4" s="58"/>
      <c r="E4" s="58"/>
      <c r="F4" s="65"/>
      <c r="G4" s="257"/>
    </row>
    <row r="5" spans="1:7" x14ac:dyDescent="0.35">
      <c r="A5" s="259"/>
      <c r="B5" s="259"/>
      <c r="C5" s="259"/>
      <c r="D5" s="259"/>
      <c r="E5" s="259"/>
      <c r="F5" s="260"/>
      <c r="G5" s="261"/>
    </row>
    <row r="6" spans="1:7" x14ac:dyDescent="0.35">
      <c r="A6" s="262"/>
      <c r="B6" s="263" t="s">
        <v>93</v>
      </c>
      <c r="C6" s="264"/>
      <c r="D6" s="264"/>
      <c r="E6" s="264"/>
      <c r="F6" s="265" t="s">
        <v>94</v>
      </c>
      <c r="G6" s="266"/>
    </row>
    <row r="7" spans="1:7" x14ac:dyDescent="0.35">
      <c r="A7" s="262"/>
      <c r="B7" s="267" t="s">
        <v>95</v>
      </c>
      <c r="C7" s="268" t="s">
        <v>96</v>
      </c>
      <c r="D7" s="269" t="s">
        <v>97</v>
      </c>
      <c r="E7" s="269" t="s">
        <v>98</v>
      </c>
      <c r="F7" s="269" t="s">
        <v>94</v>
      </c>
      <c r="G7" s="266"/>
    </row>
    <row r="8" spans="1:7" x14ac:dyDescent="0.35">
      <c r="A8" s="262"/>
      <c r="B8" s="194" t="s">
        <v>2</v>
      </c>
      <c r="C8" s="270" t="s">
        <v>3</v>
      </c>
      <c r="D8" s="271"/>
      <c r="E8" s="272"/>
      <c r="F8" s="273" t="s">
        <v>99</v>
      </c>
      <c r="G8" s="266"/>
    </row>
    <row r="9" spans="1:7" x14ac:dyDescent="0.35">
      <c r="A9" s="262"/>
      <c r="B9" s="194" t="s">
        <v>4</v>
      </c>
      <c r="C9" s="270" t="s">
        <v>5</v>
      </c>
      <c r="D9" s="271"/>
      <c r="E9" s="272"/>
      <c r="F9" s="274" t="s">
        <v>100</v>
      </c>
      <c r="G9" s="266"/>
    </row>
    <row r="10" spans="1:7" x14ac:dyDescent="0.35">
      <c r="A10" s="262"/>
      <c r="B10" s="194" t="s">
        <v>6</v>
      </c>
      <c r="C10" s="270" t="s">
        <v>7</v>
      </c>
      <c r="D10" s="271"/>
      <c r="E10" s="272"/>
      <c r="F10" s="274" t="s">
        <v>101</v>
      </c>
      <c r="G10" s="266"/>
    </row>
    <row r="11" spans="1:7" x14ac:dyDescent="0.35">
      <c r="A11" s="262"/>
      <c r="B11" s="194" t="s">
        <v>8</v>
      </c>
      <c r="C11" s="270" t="s">
        <v>9</v>
      </c>
      <c r="D11" s="271"/>
      <c r="E11" s="272"/>
      <c r="F11" s="274" t="s">
        <v>102</v>
      </c>
      <c r="G11" s="266"/>
    </row>
    <row r="12" spans="1:7" x14ac:dyDescent="0.35">
      <c r="A12" s="262"/>
      <c r="B12" s="194" t="s">
        <v>10</v>
      </c>
      <c r="C12" s="270" t="s">
        <v>11</v>
      </c>
      <c r="D12" s="275" t="str">
        <f>IF(ISNUMBER(AVERAGE(F12:AA12)), AVERAGE(F12:AA12),"")</f>
        <v/>
      </c>
      <c r="E12" s="276" t="str">
        <f>IFERROR((C12-D12)/D12,"")</f>
        <v/>
      </c>
      <c r="F12" s="274" t="s">
        <v>103</v>
      </c>
      <c r="G12" s="266"/>
    </row>
    <row r="13" spans="1:7" x14ac:dyDescent="0.35">
      <c r="A13" s="262"/>
      <c r="B13" s="194" t="s">
        <v>86</v>
      </c>
      <c r="C13" s="270" t="s">
        <v>17</v>
      </c>
      <c r="D13" s="275" t="str">
        <f>IF(ISNUMBER(AVERAGE(F13:AA13)), AVERAGE(F13:AA13),"")</f>
        <v/>
      </c>
      <c r="E13" s="276" t="str">
        <f>IFERROR((C13-D13)/D13,"")</f>
        <v/>
      </c>
      <c r="F13" s="274" t="s">
        <v>104</v>
      </c>
      <c r="G13" s="266"/>
    </row>
    <row r="14" spans="1:7" x14ac:dyDescent="0.35">
      <c r="A14" s="262"/>
      <c r="B14" s="194" t="s">
        <v>14</v>
      </c>
      <c r="C14" s="270" t="s">
        <v>15</v>
      </c>
      <c r="D14" s="275" t="str">
        <f>IF(ISNUMBER(AVERAGE(F14:AA14)), AVERAGE(F14:AA14),"")</f>
        <v/>
      </c>
      <c r="E14" s="276" t="str">
        <f>IFERROR((C14-D14)/D14,"")</f>
        <v/>
      </c>
      <c r="F14" s="274" t="s">
        <v>105</v>
      </c>
      <c r="G14" s="266"/>
    </row>
    <row r="15" spans="1:7" x14ac:dyDescent="0.35">
      <c r="A15" s="262"/>
      <c r="B15" s="194" t="s">
        <v>106</v>
      </c>
      <c r="C15" s="270"/>
      <c r="D15" s="275" t="str">
        <f>IF(ISNUMBER(AVERAGE(F15:AA15)), AVERAGE(F15:AA15),"")</f>
        <v/>
      </c>
      <c r="E15" s="277"/>
      <c r="F15" s="278" t="s">
        <v>107</v>
      </c>
      <c r="G15" s="266"/>
    </row>
    <row r="16" spans="1:7" x14ac:dyDescent="0.35">
      <c r="A16" s="262"/>
      <c r="B16" s="267" t="s">
        <v>108</v>
      </c>
      <c r="C16" s="268"/>
      <c r="D16" s="269"/>
      <c r="E16" s="269"/>
      <c r="F16" s="269" t="s">
        <v>109</v>
      </c>
      <c r="G16" s="266"/>
    </row>
    <row r="17" spans="1:7" x14ac:dyDescent="0.35">
      <c r="A17" s="262"/>
      <c r="B17" s="194" t="s">
        <v>110</v>
      </c>
      <c r="C17" s="270"/>
      <c r="D17" s="279" t="str">
        <f ref="D17:D23" si="0" t="shared">IF(ISNUMBER(AVERAGE(F17:AA17)), AVERAGE(F17:AA17),"")</f>
        <v/>
      </c>
      <c r="E17" s="276"/>
      <c r="F17" s="198" t="s">
        <v>111</v>
      </c>
      <c r="G17" s="266"/>
    </row>
    <row r="18" spans="1:7" x14ac:dyDescent="0.35">
      <c r="A18" s="262"/>
      <c r="B18" s="194" t="s">
        <v>112</v>
      </c>
      <c r="C18" s="270"/>
      <c r="D18" s="279" t="str">
        <f si="0" t="shared"/>
        <v/>
      </c>
      <c r="E18" s="276"/>
      <c r="F18" s="198" t="s">
        <v>113</v>
      </c>
      <c r="G18" s="266"/>
    </row>
    <row r="19" spans="1:7" x14ac:dyDescent="0.35">
      <c r="A19" s="262"/>
      <c r="B19" s="194" t="s">
        <v>114</v>
      </c>
      <c r="C19" s="270"/>
      <c r="D19" s="279" t="str">
        <f si="0" t="shared"/>
        <v/>
      </c>
      <c r="E19" s="276"/>
      <c r="F19" s="198" t="s">
        <v>115</v>
      </c>
      <c r="G19" s="266"/>
    </row>
    <row r="20" spans="1:7" x14ac:dyDescent="0.35">
      <c r="A20" s="262"/>
      <c r="B20" s="194" t="s">
        <v>116</v>
      </c>
      <c r="C20" s="270"/>
      <c r="D20" s="279" t="str">
        <f si="0" t="shared"/>
        <v/>
      </c>
      <c r="E20" s="276"/>
      <c r="F20" s="198" t="s">
        <v>117</v>
      </c>
      <c r="G20" s="266"/>
    </row>
    <row r="21" spans="1:7" x14ac:dyDescent="0.35">
      <c r="A21" s="262"/>
      <c r="B21" s="194" t="s">
        <v>118</v>
      </c>
      <c r="C21" s="270"/>
      <c r="D21" s="279" t="str">
        <f si="0" t="shared"/>
        <v/>
      </c>
      <c r="E21" s="276"/>
      <c r="F21" s="198" t="s">
        <v>119</v>
      </c>
      <c r="G21" s="266"/>
    </row>
    <row r="22" spans="1:7" x14ac:dyDescent="0.35">
      <c r="A22" s="262"/>
      <c r="B22" s="280" t="s">
        <v>120</v>
      </c>
      <c r="C22" s="281"/>
      <c r="D22" s="282" t="str">
        <f si="0" t="shared"/>
        <v/>
      </c>
      <c r="E22" s="283"/>
      <c r="F22" s="284" t="s">
        <v>121</v>
      </c>
      <c r="G22" s="266"/>
    </row>
    <row r="23" spans="1:7" x14ac:dyDescent="0.35">
      <c r="A23" s="262"/>
      <c r="B23" s="536" t="s">
        <v>122</v>
      </c>
      <c r="C23" s="544"/>
      <c r="D23" s="545" t="str">
        <f si="0" t="shared"/>
        <v/>
      </c>
      <c r="E23" s="546"/>
      <c r="F23" s="547" t="s">
        <v>123</v>
      </c>
      <c r="G23" s="266"/>
    </row>
    <row r="24" spans="1:7" x14ac:dyDescent="0.35">
      <c r="A24" s="262"/>
      <c r="B24" s="267" t="s">
        <v>124</v>
      </c>
      <c r="C24" s="268"/>
      <c r="D24" s="269"/>
      <c r="E24" s="269"/>
      <c r="F24" s="269" t="s">
        <v>109</v>
      </c>
      <c r="G24" s="266"/>
    </row>
    <row r="25" spans="1:7" x14ac:dyDescent="0.35">
      <c r="A25" s="262"/>
      <c r="B25" s="194" t="s">
        <v>125</v>
      </c>
      <c r="C25" s="285" t="str">
        <f ca="1">IFERROR(VLOOKUP(INDIRECT("B"&amp;ROW()), 'Unit Mix'!$B$8:$Q$13, 7, 0), "")</f>
        <v/>
      </c>
      <c r="D25" s="286" t="str">
        <f ref="D25:D30" si="1" t="shared">IF(ISNUMBER(AVERAGE(F25:AA25)), AVERAGE(F25:AA25),"")</f>
        <v/>
      </c>
      <c r="E25" s="276" t="str">
        <f ca="1" ref="E25:E30" si="2" t="shared">IFERROR((C25-D25)/D25,"")</f>
        <v/>
      </c>
      <c r="F25" s="287" t="s">
        <v>126</v>
      </c>
      <c r="G25" s="266"/>
    </row>
    <row r="26" spans="1:7" x14ac:dyDescent="0.35">
      <c r="A26" s="262"/>
      <c r="B26" s="194" t="s">
        <v>127</v>
      </c>
      <c r="C26" s="285" t="str">
        <f ca="1">IFERROR(VLOOKUP(INDIRECT("B"&amp;ROW()), 'Unit Mix'!$B$8:$Q$13, 7, 0), "")</f>
        <v/>
      </c>
      <c r="D26" s="286" t="str">
        <f si="1" t="shared"/>
        <v/>
      </c>
      <c r="E26" s="276" t="str">
        <f ca="1" si="2" t="shared"/>
        <v/>
      </c>
      <c r="F26" s="287" t="s">
        <v>128</v>
      </c>
      <c r="G26" s="266"/>
    </row>
    <row r="27" spans="1:7" x14ac:dyDescent="0.35">
      <c r="A27" s="262"/>
      <c r="B27" s="194" t="s">
        <v>129</v>
      </c>
      <c r="C27" s="285" t="str">
        <f ca="1">IFERROR(VLOOKUP(INDIRECT("B"&amp;ROW()), 'Unit Mix'!$B$8:$Q$13, 7, 0), "")</f>
        <v/>
      </c>
      <c r="D27" s="286" t="str">
        <f si="1" t="shared"/>
        <v/>
      </c>
      <c r="E27" s="276" t="str">
        <f ca="1" si="2" t="shared"/>
        <v/>
      </c>
      <c r="F27" s="287" t="s">
        <v>130</v>
      </c>
      <c r="G27" s="266"/>
    </row>
    <row r="28" spans="1:7" x14ac:dyDescent="0.35">
      <c r="A28" s="262"/>
      <c r="B28" s="194" t="s">
        <v>131</v>
      </c>
      <c r="C28" s="285" t="str">
        <f ca="1">IFERROR(VLOOKUP(INDIRECT("B"&amp;ROW()), 'Unit Mix'!$B$8:$Q$13, 7, 0), "")</f>
        <v/>
      </c>
      <c r="D28" s="286" t="str">
        <f si="1" t="shared"/>
        <v/>
      </c>
      <c r="E28" s="276" t="str">
        <f ca="1" si="2" t="shared"/>
        <v/>
      </c>
      <c r="F28" s="287" t="s">
        <v>132</v>
      </c>
      <c r="G28" s="266"/>
    </row>
    <row r="29" spans="1:7" x14ac:dyDescent="0.35">
      <c r="A29" s="262"/>
      <c r="B29" s="280" t="s">
        <v>133</v>
      </c>
      <c r="C29" s="288" t="str">
        <f ca="1">IFERROR(VLOOKUP(INDIRECT("B"&amp;ROW()), 'Unit Mix'!$B$8:$Q$13, 7, 0), "")</f>
        <v/>
      </c>
      <c r="D29" s="289" t="str">
        <f si="1" t="shared"/>
        <v/>
      </c>
      <c r="E29" s="283" t="str">
        <f ca="1" si="2" t="shared"/>
        <v/>
      </c>
      <c r="F29" s="290" t="s">
        <v>134</v>
      </c>
      <c r="G29" s="266"/>
    </row>
    <row r="30" spans="1:7" x14ac:dyDescent="0.35">
      <c r="A30" s="262"/>
      <c r="B30" s="536" t="s">
        <v>54</v>
      </c>
      <c r="C30" s="541" t="str">
        <f ca="1">IF(SUM(C25:C29)&gt;0,SUM(C25:C29),"")</f>
        <v/>
      </c>
      <c r="D30" s="542" t="str">
        <f si="1" t="shared"/>
        <v/>
      </c>
      <c r="E30" s="539" t="str">
        <f ca="1" si="2" t="shared"/>
        <v/>
      </c>
      <c r="F30" s="543" t="s">
        <v>135</v>
      </c>
      <c r="G30" s="266"/>
    </row>
    <row r="31" spans="1:7" x14ac:dyDescent="0.35">
      <c r="A31" s="262"/>
      <c r="B31" s="267" t="s">
        <v>136</v>
      </c>
      <c r="C31" s="268"/>
      <c r="D31" s="269"/>
      <c r="E31" s="269"/>
      <c r="F31" s="269" t="s">
        <v>109</v>
      </c>
      <c r="G31" s="266"/>
    </row>
    <row r="32" spans="1:7" x14ac:dyDescent="0.35">
      <c r="A32" s="262"/>
      <c r="B32" s="194" t="s">
        <v>125</v>
      </c>
      <c r="C32" s="285" t="str">
        <f ca="1">IFERROR(VLOOKUP(INDIRECT("B"&amp;ROW()), 'Unit Mix'!$B$8:$Q$13, 4, 0), "")</f>
        <v/>
      </c>
      <c r="D32" s="286" t="str">
        <f>IF(ISNUMBER(AVERAGE(F32:AA32)), AVERAGE(F32:AA32),"")</f>
        <v/>
      </c>
      <c r="E32" s="276" t="str">
        <f ca="1" ref="E32:E37" si="3" t="shared">IFERROR((C32-D32)/D32,"")</f>
        <v/>
      </c>
      <c r="F32" s="287" t="s">
        <v>137</v>
      </c>
      <c r="G32" s="266"/>
    </row>
    <row r="33" spans="1:8" x14ac:dyDescent="0.35">
      <c r="A33" s="262"/>
      <c r="B33" s="194" t="s">
        <v>127</v>
      </c>
      <c r="C33" s="285" t="str">
        <f ca="1">IFERROR(VLOOKUP(INDIRECT("B"&amp;ROW()), 'Unit Mix'!$B$8:$Q$13, 4, 0), "")</f>
        <v/>
      </c>
      <c r="D33" s="286" t="str">
        <f ref="D33:D36" si="4" t="shared">IF(ISNUMBER(AVERAGE(F33:AA33)), AVERAGE(F33:AA33),"")</f>
        <v/>
      </c>
      <c r="E33" s="276" t="str">
        <f ca="1" si="3" t="shared"/>
        <v/>
      </c>
      <c r="F33" s="287" t="s">
        <v>138</v>
      </c>
      <c r="G33" s="266"/>
    </row>
    <row r="34" spans="1:8" x14ac:dyDescent="0.35">
      <c r="A34" s="262"/>
      <c r="B34" s="194" t="s">
        <v>129</v>
      </c>
      <c r="C34" s="285" t="str">
        <f ca="1">IFERROR(VLOOKUP(INDIRECT("B"&amp;ROW()), 'Unit Mix'!$B$8:$Q$13, 4, 0), "")</f>
        <v/>
      </c>
      <c r="D34" s="286" t="str">
        <f si="4" t="shared"/>
        <v/>
      </c>
      <c r="E34" s="276" t="str">
        <f ca="1" si="3" t="shared"/>
        <v/>
      </c>
      <c r="F34" s="287" t="s">
        <v>139</v>
      </c>
      <c r="G34" s="266"/>
    </row>
    <row r="35" spans="1:8" x14ac:dyDescent="0.35">
      <c r="A35" s="262"/>
      <c r="B35" s="194" t="s">
        <v>131</v>
      </c>
      <c r="C35" s="285" t="str">
        <f ca="1">IFERROR(VLOOKUP(INDIRECT("B"&amp;ROW()), 'Unit Mix'!$B$8:$Q$13, 4, 0), "")</f>
        <v/>
      </c>
      <c r="D35" s="286" t="str">
        <f si="4" t="shared"/>
        <v/>
      </c>
      <c r="E35" s="276" t="str">
        <f ca="1" si="3" t="shared"/>
        <v/>
      </c>
      <c r="F35" s="287" t="s">
        <v>140</v>
      </c>
      <c r="G35" s="266"/>
    </row>
    <row r="36" spans="1:8" x14ac:dyDescent="0.35">
      <c r="A36" s="262"/>
      <c r="B36" s="280" t="s">
        <v>133</v>
      </c>
      <c r="C36" s="291" t="str">
        <f ca="1">IFERROR(VLOOKUP(INDIRECT("B"&amp;ROW()), 'Unit Mix'!$B$8:$Q$13, 4, 0), "")</f>
        <v/>
      </c>
      <c r="D36" s="289" t="str">
        <f si="4" t="shared"/>
        <v/>
      </c>
      <c r="E36" s="283" t="str">
        <f ca="1" si="3" t="shared"/>
        <v/>
      </c>
      <c r="F36" s="290" t="s">
        <v>141</v>
      </c>
      <c r="G36" s="266"/>
    </row>
    <row r="37" spans="1:8" x14ac:dyDescent="0.35">
      <c r="A37" s="262"/>
      <c r="B37" s="536" t="s">
        <v>55</v>
      </c>
      <c r="C37" s="541" t="str">
        <f ca="1">IFERROR(AVERAGE(C32:C36),"")</f>
        <v/>
      </c>
      <c r="D37" s="542" t="str">
        <f>IF(ISNUMBER(AVERAGE(F37:AA37)), AVERAGE(F37:AA37),"")</f>
        <v/>
      </c>
      <c r="E37" s="539" t="str">
        <f ca="1" si="3" t="shared"/>
        <v/>
      </c>
      <c r="F37" s="543" t="s">
        <v>377</v>
      </c>
      <c r="G37" s="266"/>
      <c r="H37" s="530"/>
    </row>
    <row r="38" spans="1:8" x14ac:dyDescent="0.35">
      <c r="A38" s="262"/>
      <c r="B38" s="267" t="s">
        <v>142</v>
      </c>
      <c r="C38" s="268"/>
      <c r="D38" s="269"/>
      <c r="E38" s="269"/>
      <c r="F38" s="269" t="s">
        <v>109</v>
      </c>
      <c r="G38" s="266"/>
    </row>
    <row r="39" spans="1:8" x14ac:dyDescent="0.35">
      <c r="A39" s="262"/>
      <c r="B39" s="194" t="s">
        <v>125</v>
      </c>
      <c r="C39" s="292" t="str">
        <f ca="1">IFERROR(VLOOKUP(INDIRECT("B"&amp;ROW()), 'Unit Mix'!$B$8:$Q$13,11, 0), "")</f>
        <v/>
      </c>
      <c r="D39" s="293" t="str">
        <f>IF(ISNUMBER(AVERAGE(F39:AA39)), AVERAGE(F39:AA39),"")</f>
        <v/>
      </c>
      <c r="E39" s="276" t="str">
        <f ca="1" ref="E39:E44" si="5" t="shared">IFERROR((C39-D39)/D39,"")</f>
        <v/>
      </c>
      <c r="F39" s="294" t="s">
        <v>143</v>
      </c>
      <c r="G39" s="266"/>
    </row>
    <row r="40" spans="1:8" x14ac:dyDescent="0.35">
      <c r="A40" s="262"/>
      <c r="B40" s="194" t="s">
        <v>127</v>
      </c>
      <c r="C40" s="292" t="str">
        <f ca="1">IFERROR(VLOOKUP(INDIRECT("B"&amp;ROW()), 'Unit Mix'!$B$8:$Q$13,11, 0), "")</f>
        <v/>
      </c>
      <c r="D40" s="293" t="str">
        <f ref="D40:D43" si="6" t="shared">IF(ISNUMBER(AVERAGE(F40:AA40)), AVERAGE(F40:AA40),"")</f>
        <v/>
      </c>
      <c r="E40" s="276" t="str">
        <f ca="1" si="5" t="shared"/>
        <v/>
      </c>
      <c r="F40" s="294" t="s">
        <v>144</v>
      </c>
      <c r="G40" s="266"/>
    </row>
    <row r="41" spans="1:8" x14ac:dyDescent="0.35">
      <c r="A41" s="262"/>
      <c r="B41" s="194" t="s">
        <v>129</v>
      </c>
      <c r="C41" s="292" t="str">
        <f ca="1">IFERROR(VLOOKUP(INDIRECT("B"&amp;ROW()), 'Unit Mix'!$B$8:$Q$13,11, 0), "")</f>
        <v/>
      </c>
      <c r="D41" s="293" t="str">
        <f si="6" t="shared"/>
        <v/>
      </c>
      <c r="E41" s="276" t="str">
        <f ca="1" si="5" t="shared"/>
        <v/>
      </c>
      <c r="F41" s="294" t="s">
        <v>145</v>
      </c>
      <c r="G41" s="266"/>
    </row>
    <row r="42" spans="1:8" x14ac:dyDescent="0.35">
      <c r="A42" s="262"/>
      <c r="B42" s="194" t="s">
        <v>131</v>
      </c>
      <c r="C42" s="292" t="str">
        <f ca="1">IFERROR(VLOOKUP(INDIRECT("B"&amp;ROW()), 'Unit Mix'!$B$8:$Q$13,11, 0), "")</f>
        <v/>
      </c>
      <c r="D42" s="293" t="str">
        <f si="6" t="shared"/>
        <v/>
      </c>
      <c r="E42" s="276" t="str">
        <f ca="1" si="5" t="shared"/>
        <v/>
      </c>
      <c r="F42" s="294" t="s">
        <v>146</v>
      </c>
      <c r="G42" s="266"/>
    </row>
    <row r="43" spans="1:8" x14ac:dyDescent="0.35">
      <c r="A43" s="262"/>
      <c r="B43" s="280" t="s">
        <v>133</v>
      </c>
      <c r="C43" s="295" t="str">
        <f ca="1">IFERROR(VLOOKUP(INDIRECT("B"&amp;ROW()), 'Unit Mix'!$B$8:$Q$13,11, 0), "")</f>
        <v/>
      </c>
      <c r="D43" s="296" t="str">
        <f si="6" t="shared"/>
        <v/>
      </c>
      <c r="E43" s="283" t="str">
        <f ca="1" si="5" t="shared"/>
        <v/>
      </c>
      <c r="F43" s="297" t="s">
        <v>147</v>
      </c>
      <c r="G43" s="266"/>
    </row>
    <row r="44" spans="1:8" x14ac:dyDescent="0.35">
      <c r="A44" s="262"/>
      <c r="B44" s="536" t="s">
        <v>55</v>
      </c>
      <c r="C44" s="537" t="str">
        <f ca="1">IFERROR(SUMPRODUCT(C39:C43,C25:C29)/C30,"")</f>
        <v/>
      </c>
      <c r="D44" s="538" t="str">
        <f>IF(ISNUMBER(AVERAGE(F44:AA44)), AVERAGE(F44:AA44),"")</f>
        <v/>
      </c>
      <c r="E44" s="539" t="str">
        <f ca="1" si="5" t="shared"/>
        <v/>
      </c>
      <c r="F44" s="540" t="s">
        <v>377</v>
      </c>
      <c r="G44" s="266"/>
      <c r="H44" s="530"/>
    </row>
    <row r="45" spans="1:8" x14ac:dyDescent="0.35">
      <c r="A45" s="262"/>
      <c r="B45" s="267" t="s">
        <v>148</v>
      </c>
      <c r="C45" s="268"/>
      <c r="D45" s="269"/>
      <c r="E45" s="269"/>
      <c r="F45" s="269" t="s">
        <v>109</v>
      </c>
      <c r="G45" s="266"/>
    </row>
    <row r="46" spans="1:8" x14ac:dyDescent="0.35">
      <c r="A46" s="262"/>
      <c r="B46" s="194" t="s">
        <v>125</v>
      </c>
      <c r="C46" s="298" t="str">
        <f ca="1">IFERROR(VLOOKUP(INDIRECT("B"&amp;ROW()), 'Unit Mix'!$B$8:$Q$13,12, 0), "")</f>
        <v/>
      </c>
      <c r="D46" s="299" t="str">
        <f>IF(ISNUMBER(AVERAGE(F46:AA46)), AVERAGE(F46:AA46),"")</f>
        <v/>
      </c>
      <c r="E46" s="276" t="str">
        <f ca="1" ref="E46:E51" si="7" t="shared">IFERROR((C46-D46)/D46,"")</f>
        <v/>
      </c>
      <c r="F46" s="300" t="s">
        <v>149</v>
      </c>
      <c r="G46" s="266"/>
    </row>
    <row r="47" spans="1:8" x14ac:dyDescent="0.35">
      <c r="A47" s="262"/>
      <c r="B47" s="194" t="s">
        <v>127</v>
      </c>
      <c r="C47" s="298" t="str">
        <f ca="1">IFERROR(VLOOKUP(INDIRECT("B"&amp;ROW()), 'Unit Mix'!$B$8:$Q$13,12, 0), "")</f>
        <v/>
      </c>
      <c r="D47" s="299" t="str">
        <f ref="D47:D50" si="8" t="shared">IF(ISNUMBER(AVERAGE(F47:AA47)), AVERAGE(F47:AA47),"")</f>
        <v/>
      </c>
      <c r="E47" s="276" t="str">
        <f ca="1" si="7" t="shared"/>
        <v/>
      </c>
      <c r="F47" s="196" t="s">
        <v>150</v>
      </c>
      <c r="G47" s="266"/>
    </row>
    <row r="48" spans="1:8" x14ac:dyDescent="0.35">
      <c r="A48" s="262"/>
      <c r="B48" s="194" t="s">
        <v>129</v>
      </c>
      <c r="C48" s="298" t="str">
        <f ca="1">IFERROR(VLOOKUP(INDIRECT("B"&amp;ROW()), 'Unit Mix'!$B$8:$Q$13,12, 0), "")</f>
        <v/>
      </c>
      <c r="D48" s="299" t="str">
        <f si="8" t="shared"/>
        <v/>
      </c>
      <c r="E48" s="276" t="str">
        <f ca="1" si="7" t="shared"/>
        <v/>
      </c>
      <c r="F48" s="196" t="s">
        <v>151</v>
      </c>
      <c r="G48" s="266"/>
    </row>
    <row r="49" spans="1:7" x14ac:dyDescent="0.35">
      <c r="A49" s="262"/>
      <c r="B49" s="194" t="s">
        <v>131</v>
      </c>
      <c r="C49" s="298" t="str">
        <f ca="1">IFERROR(VLOOKUP(INDIRECT("B"&amp;ROW()), 'Unit Mix'!$B$8:$Q$13,12, 0), "")</f>
        <v/>
      </c>
      <c r="D49" s="299" t="str">
        <f si="8" t="shared"/>
        <v/>
      </c>
      <c r="E49" s="276" t="str">
        <f ca="1" si="7" t="shared"/>
        <v/>
      </c>
      <c r="F49" s="196" t="s">
        <v>152</v>
      </c>
      <c r="G49" s="266"/>
    </row>
    <row r="50" spans="1:7" x14ac:dyDescent="0.35">
      <c r="A50" s="262"/>
      <c r="B50" s="280" t="s">
        <v>133</v>
      </c>
      <c r="C50" s="301" t="str">
        <f ca="1">IFERROR(VLOOKUP(INDIRECT("B"&amp;ROW()), 'Unit Mix'!$B$8:$Q$13,12, 0), "")</f>
        <v/>
      </c>
      <c r="D50" s="302" t="str">
        <f si="8" t="shared"/>
        <v/>
      </c>
      <c r="E50" s="283" t="str">
        <f ca="1" si="7" t="shared"/>
        <v/>
      </c>
      <c r="F50" s="303" t="s">
        <v>153</v>
      </c>
      <c r="G50" s="266"/>
    </row>
    <row r="51" spans="1:7" x14ac:dyDescent="0.35">
      <c r="A51" s="262"/>
      <c r="B51" s="531" t="s">
        <v>55</v>
      </c>
      <c r="C51" s="532" t="str">
        <f ca="1">IFERROR(C44/C37,"")</f>
        <v/>
      </c>
      <c r="D51" s="533" t="str">
        <f>IF(ISNUMBER(AVERAGE(F51:AA51)), AVERAGE(F51:AA51),"")</f>
        <v/>
      </c>
      <c r="E51" s="534" t="str">
        <f ca="1" si="7" t="shared"/>
        <v/>
      </c>
      <c r="F51" s="535" t="s">
        <v>376</v>
      </c>
      <c r="G51" s="266"/>
    </row>
    <row r="52" spans="1:7" x14ac:dyDescent="0.35">
      <c r="A52" s="262"/>
      <c r="B52" s="304" t="s">
        <v>154</v>
      </c>
      <c r="C52" s="262"/>
      <c r="D52" s="262"/>
      <c r="E52" s="262"/>
      <c r="F52" s="305"/>
      <c r="G52" s="306"/>
    </row>
    <row customFormat="1" r="54" s="308" spans="1:7" x14ac:dyDescent="0.35">
      <c r="A54" s="262"/>
      <c r="G54" s="306"/>
    </row>
    <row customFormat="1" r="55" s="308" spans="1:7" x14ac:dyDescent="0.35">
      <c r="A55" s="262"/>
      <c r="G55" s="306"/>
    </row>
    <row customFormat="1" r="56" s="308" spans="1:7" x14ac:dyDescent="0.35">
      <c r="A56" s="262"/>
      <c r="G56" s="306"/>
    </row>
    <row customFormat="1" r="57" s="308" spans="1:7" x14ac:dyDescent="0.35">
      <c r="A57" s="262"/>
      <c r="G57" s="306"/>
    </row>
    <row customFormat="1" r="58" s="308" spans="1:7" x14ac:dyDescent="0.35">
      <c r="A58" s="262"/>
      <c r="G58" s="306"/>
    </row>
    <row customFormat="1" r="59" s="308" spans="1:7" x14ac:dyDescent="0.35">
      <c r="A59" s="262"/>
      <c r="G59" s="306"/>
    </row>
    <row customFormat="1" r="60" s="308" spans="1:7" x14ac:dyDescent="0.35">
      <c r="A60" s="262"/>
      <c r="G60" s="306"/>
    </row>
    <row customFormat="1" r="61" s="308" spans="1:7" x14ac:dyDescent="0.35">
      <c r="A61" s="262"/>
      <c r="G61" s="306"/>
    </row>
    <row customFormat="1" r="62" s="308" spans="1:7" x14ac:dyDescent="0.35">
      <c r="A62" s="262"/>
      <c r="G62" s="306"/>
    </row>
    <row customFormat="1" r="63" s="308" spans="1:7" x14ac:dyDescent="0.35">
      <c r="A63" s="262"/>
      <c r="G63" s="306"/>
    </row>
    <row customFormat="1" r="64" s="308" spans="1:7" x14ac:dyDescent="0.35">
      <c r="A64" s="262"/>
      <c r="B64" s="262"/>
      <c r="C64" s="262"/>
      <c r="D64" s="262"/>
      <c r="E64" s="262"/>
      <c r="F64" s="307"/>
      <c r="G64" s="306"/>
    </row>
    <row customFormat="1" r="65" s="308" spans="1:7" x14ac:dyDescent="0.35">
      <c r="A65" s="262"/>
      <c r="B65" s="262"/>
      <c r="C65" s="262"/>
      <c r="D65" s="262"/>
      <c r="E65" s="262"/>
      <c r="F65" s="307"/>
      <c r="G65" s="306"/>
    </row>
    <row customFormat="1" r="66" s="308" spans="1:7" x14ac:dyDescent="0.35">
      <c r="A66" s="262"/>
      <c r="B66" s="262"/>
      <c r="C66" s="262"/>
      <c r="D66" s="262"/>
      <c r="E66" s="262"/>
      <c r="F66" s="307"/>
      <c r="G66" s="306"/>
    </row>
    <row customFormat="1" r="67" s="308" spans="1:7" x14ac:dyDescent="0.35">
      <c r="A67" s="262"/>
      <c r="B67" s="262"/>
      <c r="C67" s="262"/>
      <c r="D67" s="262"/>
      <c r="E67" s="262"/>
      <c r="F67" s="307"/>
      <c r="G67" s="306"/>
    </row>
    <row customFormat="1" r="68" s="308" spans="1:7" x14ac:dyDescent="0.35">
      <c r="A68" s="262"/>
      <c r="B68" s="262"/>
      <c r="C68" s="262"/>
      <c r="D68" s="262"/>
      <c r="E68" s="262"/>
      <c r="F68" s="307"/>
      <c r="G68" s="306"/>
    </row>
  </sheetData>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9F915-A8DF-4885-B9A8-C9B46C93EFEC}">
  <dimension ref="B2:H31"/>
  <sheetViews>
    <sheetView workbookViewId="0" zoomScaleNormal="100"/>
  </sheetViews>
  <sheetFormatPr defaultColWidth="9.1796875" defaultRowHeight="14.5" x14ac:dyDescent="0.35"/>
  <cols>
    <col min="1" max="1" customWidth="true" style="1" width="2.7265625" collapsed="false"/>
    <col min="2" max="2" customWidth="true" style="1" width="36.81640625" collapsed="false"/>
    <col min="3" max="61" customWidth="true" style="1" width="24.26953125" collapsed="false"/>
    <col min="62" max="62" customWidth="true" style="1" width="21.0" collapsed="false"/>
    <col min="63" max="16384" style="1" width="9.1796875" collapsed="false"/>
  </cols>
  <sheetData>
    <row ht="18.5" r="2" spans="2:7" x14ac:dyDescent="0.35">
      <c r="B2" s="2" t="s">
        <v>375</v>
      </c>
    </row>
    <row ht="18.5" r="3" spans="2:7" x14ac:dyDescent="0.35">
      <c r="B3" s="3" t="str">
        <f>IF(LEN("{property.name}")&gt;1,"{property.name}"&amp;" | "&amp;"{property.number_units}"&amp;" Units","{property.number_units}"&amp;" Units")</f>
        <v>{property.name} | {property.number_units} Units</v>
      </c>
    </row>
    <row ht="18.5" r="4" spans="2:7" x14ac:dyDescent="0.35">
      <c r="B4" s="3" t="s">
        <v>0</v>
      </c>
    </row>
    <row ht="18.5" r="6" spans="2:7" x14ac:dyDescent="0.35">
      <c r="B6" s="2" t="s">
        <v>411</v>
      </c>
    </row>
    <row r="7" spans="2:7" x14ac:dyDescent="0.35">
      <c r="B7" s="184" t="s">
        <v>22</v>
      </c>
      <c r="C7" s="186"/>
      <c r="D7" s="187"/>
      <c r="E7" s="189"/>
      <c r="F7" s="188"/>
      <c r="G7" s="28"/>
    </row>
    <row r="8" spans="2:7" x14ac:dyDescent="0.35">
      <c r="B8" s="190" t="s">
        <v>23</v>
      </c>
      <c r="C8" s="191" t="s">
        <v>24</v>
      </c>
      <c r="D8" s="192" t="s">
        <v>25</v>
      </c>
      <c r="E8" s="193" t="s">
        <v>26</v>
      </c>
      <c r="F8" s="562" t="s">
        <v>349</v>
      </c>
      <c r="G8" s="28"/>
    </row>
    <row r="9" spans="2:7" x14ac:dyDescent="0.35">
      <c r="B9" s="194" t="s">
        <v>27</v>
      </c>
      <c r="C9" s="80" t="str">
        <f>IF("{amenity.selected}"="True","X","")</f>
        <v/>
      </c>
      <c r="D9" s="195" t="s">
        <v>28</v>
      </c>
      <c r="E9" s="196" t="s">
        <v>30</v>
      </c>
      <c r="F9" s="327" t="s">
        <v>29</v>
      </c>
      <c r="G9" s="28"/>
    </row>
    <row r="10" spans="2:7" x14ac:dyDescent="0.35">
      <c r="B10" s="184" t="s">
        <v>31</v>
      </c>
      <c r="C10" s="186"/>
      <c r="D10" s="187"/>
      <c r="E10" s="189"/>
      <c r="F10" s="188"/>
      <c r="G10" s="28"/>
    </row>
    <row r="11" spans="2:7" x14ac:dyDescent="0.35">
      <c r="B11" s="190" t="s">
        <v>23</v>
      </c>
      <c r="C11" s="191" t="s">
        <v>24</v>
      </c>
      <c r="D11" s="197" t="s">
        <v>25</v>
      </c>
      <c r="E11" s="193" t="s">
        <v>26</v>
      </c>
      <c r="F11" s="562" t="s">
        <v>349</v>
      </c>
      <c r="G11" s="28"/>
    </row>
    <row r="12" spans="2:7" x14ac:dyDescent="0.35">
      <c r="B12" s="194" t="s">
        <v>32</v>
      </c>
      <c r="C12" s="80" t="str">
        <f>IF("{amenity.selected}"="True","X","")</f>
        <v/>
      </c>
      <c r="D12" s="198" t="s">
        <v>28</v>
      </c>
      <c r="E12" s="196" t="s">
        <v>30</v>
      </c>
      <c r="F12" s="327" t="s">
        <v>29</v>
      </c>
      <c r="G12" s="28"/>
    </row>
    <row customFormat="1" r="13" s="563" spans="2:7" x14ac:dyDescent="0.35">
      <c r="B13" s="646"/>
      <c r="C13" s="646"/>
      <c r="D13" s="652"/>
      <c r="E13" s="653"/>
      <c r="F13" s="653"/>
    </row>
    <row customFormat="1" r="14" s="563" spans="2:7" x14ac:dyDescent="0.35"/>
    <row ht="18.5" r="16" spans="2:7" x14ac:dyDescent="0.35">
      <c r="B16" s="2" t="s">
        <v>412</v>
      </c>
    </row>
    <row r="17" spans="2:6" x14ac:dyDescent="0.35">
      <c r="B17" s="309" t="s">
        <v>22</v>
      </c>
      <c r="C17" s="309"/>
      <c r="D17" s="662"/>
      <c r="E17" s="310" t="s">
        <v>94</v>
      </c>
      <c r="F17" s="28"/>
    </row>
    <row customFormat="1" r="18" s="563" spans="2:6" x14ac:dyDescent="0.35">
      <c r="B18" s="668" t="s">
        <v>95</v>
      </c>
      <c r="C18" s="311" t="s">
        <v>96</v>
      </c>
      <c r="D18" s="659" t="s">
        <v>155</v>
      </c>
      <c r="E18" s="663" t="s">
        <v>94</v>
      </c>
      <c r="F18" s="28"/>
    </row>
    <row customFormat="1" r="19" s="563" spans="2:6" x14ac:dyDescent="0.35">
      <c r="B19" s="669" t="s">
        <v>2</v>
      </c>
      <c r="C19" s="654" t="s">
        <v>3</v>
      </c>
      <c r="D19" s="660"/>
      <c r="E19" s="664" t="s">
        <v>99</v>
      </c>
      <c r="F19" s="28"/>
    </row>
    <row customFormat="1" r="20" s="563" spans="2:6" x14ac:dyDescent="0.35">
      <c r="B20" s="669" t="s">
        <v>4</v>
      </c>
      <c r="C20" s="655" t="s">
        <v>5</v>
      </c>
      <c r="D20" s="660"/>
      <c r="E20" s="665" t="s">
        <v>100</v>
      </c>
      <c r="F20" s="28"/>
    </row>
    <row customFormat="1" r="21" s="563" spans="2:6" x14ac:dyDescent="0.35">
      <c r="B21" s="671" t="s">
        <v>6</v>
      </c>
      <c r="C21" s="656" t="s">
        <v>7</v>
      </c>
      <c r="D21" s="672"/>
      <c r="E21" s="632" t="s">
        <v>101</v>
      </c>
      <c r="F21" s="28"/>
    </row>
    <row customFormat="1" r="22" s="563" spans="2:6" x14ac:dyDescent="0.35">
      <c r="B22" s="670" t="s">
        <v>27</v>
      </c>
      <c r="C22" s="666" t="str">
        <f>IF("{amenity.selected}"="True","X","")</f>
        <v/>
      </c>
      <c r="D22" s="661" t="str">
        <f ca="1">IF(COUNTIF(INDIRECT("F" &amp; ROW()):INDIRECT("Z" &amp; ROW()),"X")&gt;0,COUNTIF(INDIRECT("F" &amp; ROW()):INDIRECT("Z" &amp; ROW()),"X"),"")</f>
        <v/>
      </c>
      <c r="E22" s="324" t="str">
        <f>IF("{hfor comp in comparables order_by similarity} {comp.community_amenities_dic[{amenity.id}].selected}"=" True","X","")</f>
        <v/>
      </c>
      <c r="F22" s="28"/>
    </row>
    <row customFormat="1" r="23" s="563" spans="2:6" x14ac:dyDescent="0.35">
      <c r="B23" s="309" t="s">
        <v>31</v>
      </c>
      <c r="C23" s="310"/>
      <c r="D23" s="667"/>
      <c r="E23" s="310" t="s">
        <v>94</v>
      </c>
      <c r="F23" s="28"/>
    </row>
    <row customFormat="1" r="24" s="563" spans="2:6" x14ac:dyDescent="0.35">
      <c r="B24" s="668" t="s">
        <v>95</v>
      </c>
      <c r="C24" s="311" t="s">
        <v>96</v>
      </c>
      <c r="D24" s="659" t="s">
        <v>155</v>
      </c>
      <c r="E24" s="663" t="s">
        <v>94</v>
      </c>
      <c r="F24" s="28"/>
    </row>
    <row customFormat="1" r="25" s="563" spans="2:6" x14ac:dyDescent="0.35">
      <c r="B25" s="669" t="s">
        <v>2</v>
      </c>
      <c r="C25" s="654" t="s">
        <v>3</v>
      </c>
      <c r="D25" s="660"/>
      <c r="E25" s="664" t="s">
        <v>99</v>
      </c>
      <c r="F25" s="28"/>
    </row>
    <row customFormat="1" r="26" s="563" spans="2:6" x14ac:dyDescent="0.35">
      <c r="B26" s="669" t="s">
        <v>4</v>
      </c>
      <c r="C26" s="655" t="s">
        <v>5</v>
      </c>
      <c r="D26" s="660"/>
      <c r="E26" s="665" t="s">
        <v>100</v>
      </c>
      <c r="F26" s="28"/>
    </row>
    <row customFormat="1" r="27" s="563" spans="2:6" x14ac:dyDescent="0.35">
      <c r="B27" s="671" t="s">
        <v>6</v>
      </c>
      <c r="C27" s="656" t="s">
        <v>7</v>
      </c>
      <c r="D27" s="672"/>
      <c r="E27" s="632" t="s">
        <v>101</v>
      </c>
      <c r="F27" s="28"/>
    </row>
    <row customFormat="1" r="28" s="563" spans="2:6" x14ac:dyDescent="0.35">
      <c r="B28" s="670" t="s">
        <v>32</v>
      </c>
      <c r="C28" s="666" t="str">
        <f>IF("{amenity.selected}"="True","X","")</f>
        <v/>
      </c>
      <c r="D28" s="661" t="str">
        <f ca="1">IF(COUNTIF(INDIRECT("F" &amp; ROW()):INDIRECT("Z" &amp; ROW()),"X")&gt;0,COUNTIF(INDIRECT("F" &amp; ROW()):INDIRECT("Z" &amp; ROW()),"X"),"")</f>
        <v/>
      </c>
      <c r="E28" s="324" t="str">
        <f>IF("{hfor comp in comparables order_by similarity} {comp.unit_amenities_dic[{amenity.id}].selected}"=" True","X","")</f>
        <v/>
      </c>
      <c r="F28" s="28"/>
    </row>
    <row customFormat="1" r="29" s="563" spans="2:6" x14ac:dyDescent="0.35">
      <c r="B29" s="646"/>
      <c r="C29" s="647"/>
      <c r="D29" s="647"/>
      <c r="E29" s="647"/>
    </row>
    <row customFormat="1" r="30" s="563" spans="2:6" x14ac:dyDescent="0.35"/>
    <row customFormat="1" r="31" s="563" spans="2:6" x14ac:dyDescent="0.35"/>
  </sheetData>
  <conditionalFormatting sqref="B1:Z16 B30:Z1048576 G17:Z29 B17:E29">
    <cfRule dxfId="8" operator="equal" priority="1" type="cellIs">
      <formula>"X"</formula>
    </cfRule>
  </conditionalFormatting>
  <pageMargins bottom="0.75" footer="0.3" header="0.3" left="0.7" right="0.7" top="0.75"/>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614E2-AEC8-4898-81F1-38FDF81D6949}">
  <dimension ref="A1:AD12"/>
  <sheetViews>
    <sheetView workbookViewId="0" zoomScaleNormal="100">
      <selection activeCell="K11" sqref="K11"/>
    </sheetView>
  </sheetViews>
  <sheetFormatPr defaultColWidth="8.7265625" defaultRowHeight="14.5" x14ac:dyDescent="0.35"/>
  <cols>
    <col min="1" max="1" customWidth="true" style="19" width="2.54296875" collapsed="false"/>
    <col min="2" max="3" customWidth="true" style="19" width="32.54296875" collapsed="false"/>
    <col min="4" max="4" customWidth="true" style="19" width="13.81640625" collapsed="false"/>
    <col min="5" max="5" customWidth="true" style="19" width="10.26953125" collapsed="false"/>
    <col min="6" max="6" customWidth="true" style="181" width="7.81640625" collapsed="false"/>
    <col min="7" max="7" customWidth="true" style="19" width="15.0" collapsed="false"/>
    <col min="8" max="8" customWidth="true" style="182" width="10.7265625" collapsed="false"/>
    <col min="9" max="9" customWidth="true" style="19" width="17.453125" collapsed="false"/>
    <col min="10" max="10" customWidth="true" style="19" width="9.1796875" collapsed="false"/>
    <col min="11" max="11" customWidth="true" style="29" width="9.1796875" collapsed="false"/>
    <col min="12" max="12" customWidth="true" style="19" width="9.1796875" collapsed="false"/>
    <col min="13" max="13" customWidth="true" style="38" width="9.1796875" collapsed="false"/>
    <col min="14" max="14" customWidth="true" style="19" width="9.1796875" collapsed="false"/>
    <col min="15" max="15" customWidth="true" style="29" width="9.1796875" collapsed="false"/>
    <col min="16" max="16" customWidth="true" style="19" width="9.1796875" collapsed="false"/>
    <col min="17" max="17" customWidth="true" style="38" width="9.1796875" collapsed="false"/>
    <col min="18" max="18" customWidth="true" style="19" width="9.1796875" collapsed="false"/>
    <col min="19" max="19" customWidth="true" style="29" width="9.1796875" collapsed="false"/>
    <col min="20" max="20" customWidth="true" style="19" width="9.1796875" collapsed="false"/>
    <col min="21" max="21" customWidth="true" style="38" width="9.1796875" collapsed="false"/>
    <col min="22" max="22" customWidth="true" style="19" width="9.1796875" collapsed="false"/>
    <col min="23" max="23" customWidth="true" style="29" width="9.1796875" collapsed="false"/>
    <col min="24" max="24" customWidth="true" style="19" width="9.1796875" collapsed="false"/>
    <col min="25" max="25" customWidth="true" style="38" width="9.1796875" collapsed="false"/>
    <col min="26" max="26" customWidth="true" style="19" width="9.1796875" collapsed="false"/>
    <col min="27" max="27" customWidth="true" style="29" width="9.1796875" collapsed="false"/>
    <col min="28" max="28" customWidth="true" style="19" width="9.1796875" collapsed="false"/>
    <col min="29" max="29" customWidth="true" style="38" width="9.1796875" collapsed="false"/>
    <col min="30" max="16384" style="52" width="8.7265625" collapsed="false"/>
  </cols>
  <sheetData>
    <row r="1" spans="1:29" x14ac:dyDescent="0.35">
      <c r="A1" s="58"/>
      <c r="B1" s="58"/>
      <c r="C1" s="58"/>
      <c r="D1" s="58"/>
      <c r="E1" s="58"/>
      <c r="F1" s="59"/>
      <c r="G1" s="58"/>
      <c r="H1" s="60"/>
      <c r="I1" s="58"/>
      <c r="J1" s="58"/>
      <c r="K1" s="61"/>
      <c r="L1" s="58"/>
      <c r="M1" s="62"/>
      <c r="N1" s="58"/>
      <c r="O1" s="61"/>
      <c r="P1" s="58"/>
      <c r="Q1" s="62"/>
      <c r="R1" s="58"/>
      <c r="S1" s="61"/>
      <c r="T1" s="58"/>
      <c r="U1" s="62"/>
      <c r="V1" s="58"/>
      <c r="W1" s="61"/>
      <c r="X1" s="58"/>
      <c r="Y1" s="62"/>
      <c r="Z1" s="58"/>
      <c r="AA1" s="61"/>
      <c r="AB1" s="58"/>
      <c r="AC1" s="62"/>
    </row>
    <row ht="18.5" r="2" spans="1:29" x14ac:dyDescent="0.35">
      <c r="A2" s="58"/>
      <c r="B2" s="2" t="s">
        <v>156</v>
      </c>
      <c r="C2" s="2"/>
      <c r="D2" s="58"/>
      <c r="E2" s="58"/>
      <c r="F2" s="59"/>
      <c r="G2" s="58"/>
      <c r="H2" s="60"/>
      <c r="I2" s="58"/>
      <c r="J2" s="58"/>
      <c r="K2" s="61"/>
      <c r="L2" s="58"/>
      <c r="M2" s="62"/>
      <c r="N2" s="58"/>
      <c r="O2" s="61"/>
      <c r="P2" s="58"/>
      <c r="Q2" s="62"/>
      <c r="R2" s="58"/>
      <c r="S2" s="61"/>
      <c r="T2" s="58"/>
      <c r="U2" s="62"/>
      <c r="V2" s="58"/>
      <c r="W2" s="61"/>
      <c r="X2" s="58"/>
      <c r="Y2" s="62"/>
      <c r="Z2" s="58"/>
      <c r="AA2" s="61"/>
      <c r="AB2" s="58"/>
      <c r="AC2" s="62"/>
    </row>
    <row ht="18.5" r="3" spans="1:29" x14ac:dyDescent="0.35">
      <c r="A3" s="58"/>
      <c r="B3" s="3" t="str">
        <f>IF(LEN("{property.name}")&gt;1,"{property.name}"&amp;" | "&amp;"{property.number_units}"&amp;" Units","{property.number_units}"&amp;" Units")</f>
        <v>{property.name} | {property.number_units} Units</v>
      </c>
      <c r="C3" s="3"/>
      <c r="D3" s="58"/>
      <c r="E3" s="58"/>
      <c r="F3" s="59"/>
      <c r="G3" s="58"/>
      <c r="H3" s="60"/>
      <c r="I3" s="58"/>
      <c r="J3" s="58"/>
      <c r="K3" s="61"/>
      <c r="L3" s="58"/>
      <c r="M3" s="62"/>
      <c r="N3" s="58"/>
      <c r="O3" s="61"/>
      <c r="P3" s="58"/>
      <c r="Q3" s="62"/>
      <c r="R3" s="58"/>
      <c r="S3" s="61"/>
      <c r="T3" s="58"/>
      <c r="U3" s="62"/>
      <c r="V3" s="58"/>
      <c r="W3" s="61"/>
      <c r="X3" s="58"/>
      <c r="Y3" s="62"/>
      <c r="Z3" s="58"/>
      <c r="AA3" s="61"/>
      <c r="AB3" s="58"/>
      <c r="AC3" s="62"/>
    </row>
    <row ht="18.5" r="4" spans="1:29" x14ac:dyDescent="0.35">
      <c r="A4" s="58"/>
      <c r="B4" s="3" t="s">
        <v>0</v>
      </c>
      <c r="C4" s="3"/>
      <c r="D4" s="58"/>
      <c r="E4" s="58"/>
      <c r="F4" s="59"/>
      <c r="G4" s="58"/>
      <c r="H4" s="60"/>
      <c r="I4" s="58"/>
      <c r="J4" s="58"/>
      <c r="K4" s="61"/>
      <c r="L4" s="58"/>
      <c r="M4" s="62"/>
      <c r="N4" s="58"/>
      <c r="O4" s="61"/>
      <c r="P4" s="58"/>
      <c r="Q4" s="62"/>
      <c r="R4" s="58"/>
      <c r="S4" s="61"/>
      <c r="T4" s="58"/>
      <c r="U4" s="62"/>
      <c r="V4" s="58"/>
      <c r="W4" s="61"/>
      <c r="X4" s="58"/>
      <c r="Y4" s="62"/>
      <c r="Z4" s="58"/>
      <c r="AA4" s="61"/>
      <c r="AB4" s="58"/>
      <c r="AC4" s="62"/>
    </row>
    <row r="5" spans="1:29" x14ac:dyDescent="0.35">
      <c r="A5" s="58"/>
      <c r="B5" s="58"/>
      <c r="C5" s="58"/>
      <c r="D5" s="58"/>
      <c r="E5" s="58"/>
      <c r="F5" s="59"/>
      <c r="G5" s="58"/>
      <c r="H5" s="60"/>
      <c r="I5" s="58"/>
      <c r="J5" s="58"/>
      <c r="K5" s="61"/>
      <c r="L5" s="58"/>
      <c r="M5" s="62"/>
      <c r="N5" s="58"/>
      <c r="O5" s="61"/>
      <c r="P5" s="58"/>
      <c r="Q5" s="62"/>
      <c r="R5" s="58"/>
      <c r="S5" s="61"/>
      <c r="T5" s="58"/>
      <c r="U5" s="62"/>
      <c r="V5" s="58"/>
      <c r="W5" s="61"/>
      <c r="X5" s="58"/>
      <c r="Y5" s="62"/>
      <c r="Z5" s="58"/>
      <c r="AA5" s="61"/>
      <c r="AB5" s="58"/>
      <c r="AC5" s="62"/>
    </row>
    <row r="6" spans="1:29" x14ac:dyDescent="0.35">
      <c r="B6" s="184" t="s">
        <v>157</v>
      </c>
      <c r="C6" s="186"/>
      <c r="D6" s="186"/>
      <c r="E6" s="186"/>
      <c r="F6" s="312"/>
      <c r="G6" s="186"/>
      <c r="H6" s="187"/>
      <c r="I6" s="186"/>
      <c r="J6" s="677" t="s">
        <v>343</v>
      </c>
      <c r="K6" s="677"/>
      <c r="L6" s="677"/>
      <c r="M6" s="677"/>
      <c r="N6" s="677" t="s">
        <v>330</v>
      </c>
      <c r="O6" s="677"/>
      <c r="P6" s="677"/>
      <c r="Q6" s="677"/>
      <c r="R6" s="677" t="s">
        <v>331</v>
      </c>
      <c r="S6" s="677"/>
      <c r="T6" s="677"/>
      <c r="U6" s="677"/>
      <c r="V6" s="677" t="s">
        <v>332</v>
      </c>
      <c r="W6" s="677"/>
      <c r="X6" s="677"/>
      <c r="Y6" s="678"/>
      <c r="Z6" s="677" t="s">
        <v>333</v>
      </c>
      <c r="AA6" s="677"/>
      <c r="AB6" s="677"/>
      <c r="AC6" s="678"/>
    </row>
    <row r="7" spans="1:29" x14ac:dyDescent="0.35">
      <c r="B7" s="313" t="s">
        <v>4</v>
      </c>
      <c r="C7" s="314" t="s">
        <v>2</v>
      </c>
      <c r="D7" s="315" t="s">
        <v>8</v>
      </c>
      <c r="E7" s="315" t="s">
        <v>10</v>
      </c>
      <c r="F7" s="316" t="s">
        <v>86</v>
      </c>
      <c r="G7" s="317" t="s">
        <v>158</v>
      </c>
      <c r="H7" s="318" t="s">
        <v>108</v>
      </c>
      <c r="I7" s="317" t="s">
        <v>159</v>
      </c>
      <c r="J7" s="316" t="s">
        <v>160</v>
      </c>
      <c r="K7" s="319" t="s">
        <v>45</v>
      </c>
      <c r="L7" s="316" t="s">
        <v>161</v>
      </c>
      <c r="M7" s="320" t="s">
        <v>162</v>
      </c>
      <c r="N7" s="321" t="s">
        <v>160</v>
      </c>
      <c r="O7" s="322" t="s">
        <v>45</v>
      </c>
      <c r="P7" s="316" t="s">
        <v>161</v>
      </c>
      <c r="Q7" s="323" t="s">
        <v>162</v>
      </c>
      <c r="R7" s="316" t="s">
        <v>160</v>
      </c>
      <c r="S7" s="319" t="s">
        <v>45</v>
      </c>
      <c r="T7" s="316" t="s">
        <v>161</v>
      </c>
      <c r="U7" s="320" t="s">
        <v>162</v>
      </c>
      <c r="V7" s="316" t="s">
        <v>160</v>
      </c>
      <c r="W7" s="319" t="s">
        <v>45</v>
      </c>
      <c r="X7" s="321" t="s">
        <v>161</v>
      </c>
      <c r="Y7" s="323" t="s">
        <v>162</v>
      </c>
      <c r="Z7" s="316" t="s">
        <v>160</v>
      </c>
      <c r="AA7" s="319" t="s">
        <v>45</v>
      </c>
      <c r="AB7" s="321" t="s">
        <v>161</v>
      </c>
      <c r="AC7" s="323" t="s">
        <v>162</v>
      </c>
    </row>
    <row r="8" spans="1:29" x14ac:dyDescent="0.35">
      <c r="B8" s="194" t="s">
        <v>163</v>
      </c>
      <c r="C8" s="307" t="s">
        <v>164</v>
      </c>
      <c r="D8" s="324" t="s">
        <v>165</v>
      </c>
      <c r="E8" s="324" t="s">
        <v>166</v>
      </c>
      <c r="F8" s="325" t="s">
        <v>167</v>
      </c>
      <c r="G8" s="278" t="s">
        <v>168</v>
      </c>
      <c r="H8" s="195" t="s">
        <v>169</v>
      </c>
      <c r="I8" s="326" t="s">
        <v>170</v>
      </c>
      <c r="J8" s="325" t="s">
        <v>171</v>
      </c>
      <c r="K8" s="294" t="s">
        <v>172</v>
      </c>
      <c r="L8" s="325" t="s">
        <v>173</v>
      </c>
      <c r="M8" s="327" t="s">
        <v>174</v>
      </c>
      <c r="N8" s="287" t="s">
        <v>175</v>
      </c>
      <c r="O8" s="131" t="s">
        <v>176</v>
      </c>
      <c r="P8" s="325" t="s">
        <v>177</v>
      </c>
      <c r="Q8" s="196" t="s">
        <v>178</v>
      </c>
      <c r="R8" s="325" t="s">
        <v>179</v>
      </c>
      <c r="S8" s="294" t="s">
        <v>180</v>
      </c>
      <c r="T8" s="325" t="s">
        <v>181</v>
      </c>
      <c r="U8" s="327" t="s">
        <v>182</v>
      </c>
      <c r="V8" s="325" t="s">
        <v>183</v>
      </c>
      <c r="W8" s="294" t="s">
        <v>184</v>
      </c>
      <c r="X8" s="287" t="s">
        <v>185</v>
      </c>
      <c r="Y8" s="196" t="s">
        <v>338</v>
      </c>
      <c r="Z8" s="325" t="s">
        <v>339</v>
      </c>
      <c r="AA8" s="294" t="s">
        <v>340</v>
      </c>
      <c r="AB8" s="287" t="s">
        <v>341</v>
      </c>
      <c r="AC8" s="196" t="s">
        <v>342</v>
      </c>
    </row>
    <row r="9" spans="1:29" x14ac:dyDescent="0.35">
      <c r="B9" s="194"/>
      <c r="C9" s="307"/>
      <c r="D9" s="324"/>
      <c r="E9" s="324"/>
      <c r="F9" s="325"/>
      <c r="G9" s="278"/>
      <c r="H9" s="195"/>
      <c r="I9" s="326"/>
      <c r="J9" s="325"/>
      <c r="K9" s="294"/>
      <c r="L9" s="325"/>
      <c r="M9" s="327"/>
      <c r="N9" s="287"/>
      <c r="O9" s="131"/>
      <c r="P9" s="325"/>
      <c r="Q9" s="196"/>
      <c r="R9" s="325"/>
      <c r="S9" s="294"/>
      <c r="T9" s="325"/>
      <c r="U9" s="327"/>
      <c r="V9" s="325"/>
      <c r="W9" s="294"/>
      <c r="X9" s="287"/>
      <c r="Y9" s="196"/>
      <c r="Z9" s="325"/>
      <c r="AA9" s="294"/>
      <c r="AB9" s="287"/>
      <c r="AC9" s="196"/>
    </row>
    <row r="10" spans="1:29" x14ac:dyDescent="0.35">
      <c r="B10" s="328" t="s">
        <v>337</v>
      </c>
      <c r="C10" s="329"/>
      <c r="D10" s="328"/>
      <c r="E10" s="330"/>
      <c r="F10" s="331"/>
      <c r="G10" s="332"/>
      <c r="H10" s="333"/>
      <c r="I10" s="334"/>
      <c r="J10" s="331" t="str">
        <f ca="1">IF(SUM(J7:INDIRECT("J" &amp; ROW() - 1))=0,"",SUM(J7:INDIRECT("J" &amp; ROW() - 1)))</f>
        <v/>
      </c>
      <c r="K10" s="335"/>
      <c r="L10" s="331"/>
      <c r="M10" s="336"/>
      <c r="N10" s="331" t="str">
        <f ca="1">IF(SUM(N7:INDIRECT("N" &amp; ROW() - 1))=0,"",SUM(N7:INDIRECT("N" &amp; ROW() - 1)))</f>
        <v/>
      </c>
      <c r="O10" s="335"/>
      <c r="P10" s="331"/>
      <c r="Q10" s="336"/>
      <c r="R10" s="331" t="str">
        <f ca="1">IF(SUM(R7:INDIRECT("R" &amp; ROW() - 1))=0,"",SUM(R7:INDIRECT("R" &amp; ROW() - 1)))</f>
        <v/>
      </c>
      <c r="S10" s="335"/>
      <c r="T10" s="331"/>
      <c r="U10" s="336"/>
      <c r="V10" s="331" t="str">
        <f ca="1">IF(SUM(V7:INDIRECT("V" &amp; ROW() - 1))=0,"",SUM(V7:INDIRECT("V" &amp; ROW() - 1)))</f>
        <v/>
      </c>
      <c r="W10" s="335"/>
      <c r="X10" s="331"/>
      <c r="Y10" s="336"/>
      <c r="Z10" s="331" t="str">
        <f ca="1">IF(SUM(Z7:INDIRECT("Z" &amp; ROW() - 1))=0,"",SUM(Z7:INDIRECT("Z" &amp; ROW() - 1)))</f>
        <v/>
      </c>
      <c r="AA10" s="335"/>
      <c r="AB10" s="331"/>
      <c r="AC10" s="336"/>
    </row>
    <row customFormat="1" r="11" s="347" spans="1:29" x14ac:dyDescent="0.35">
      <c r="A11" s="337"/>
      <c r="B11" s="338" t="s">
        <v>55</v>
      </c>
      <c r="C11" s="339"/>
      <c r="D11" s="338"/>
      <c r="E11" s="340" t="str">
        <f ca="1">IFERROR(AVERAGE(E7:INDIRECT("E" &amp; ROW() - 2)),"")</f>
        <v/>
      </c>
      <c r="F11" s="341" t="str">
        <f ca="1">IFERROR(AVERAGE(F7:INDIRECT("F" &amp; ROW() - 2)),"")</f>
        <v/>
      </c>
      <c r="G11" s="342" t="str">
        <f ca="1">IFERROR(AVERAGE(G7:INDIRECT("G" &amp; ROW() - 2)),"")</f>
        <v/>
      </c>
      <c r="H11" s="343" t="str">
        <f ca="1">IFERROR(AVERAGE(H8:INDIRECT("H" &amp; ROW())),"")</f>
        <v/>
      </c>
      <c r="I11" s="344"/>
      <c r="J11" s="341" t="str">
        <f ca="1">IF(SUM(J7:INDIRECT("J" &amp; ROW() - 2))=0,"",AVERAGE(J7:INDIRECT("J" &amp; ROW() - 2)))</f>
        <v/>
      </c>
      <c r="K11" s="345" t="str">
        <f ca="1">IFERROR(AVERAGE(K8:INDIRECT("K" &amp; ROW() - 2)),"")</f>
        <v/>
      </c>
      <c r="L11" s="341" t="str">
        <f ca="1">IFERROR(AVERAGE(L8:INDIRECT("L" &amp; ROW() - 2)),"")</f>
        <v/>
      </c>
      <c r="M11" s="346" t="str">
        <f ca="1">IFERROR(SUMPRODUCT(M8:INDIRECT("M" &amp; ROW() - 2),J8:INDIRECT("J" &amp;  ROW() - 2))/SUM(J8:INDIRECT("J" &amp;  ROW() - 2)),"")</f>
        <v/>
      </c>
      <c r="N11" s="341" t="str">
        <f ca="1">IF(SUM(N8:INDIRECT("N" &amp; ROW() - 2))=0,"",AVERAGE(N8:INDIRECT("N" &amp; ROW() - 2)))</f>
        <v/>
      </c>
      <c r="O11" s="345" t="str">
        <f ca="1">IFERROR(AVERAGE(O8:INDIRECT("O" &amp; ROW() - 2)),"")</f>
        <v/>
      </c>
      <c r="P11" s="341" t="str">
        <f ca="1">IFERROR(AVERAGE(P8:INDIRECT("P" &amp; ROW() - 2)),"")</f>
        <v/>
      </c>
      <c r="Q11" s="346" t="str">
        <f ca="1">IFERROR(SUMPRODUCT(Q8:INDIRECT("Q" &amp; ROW() - 2),N8:INDIRECT("N" &amp; ROW() - 2))/SUM(N8:INDIRECT("N" &amp; ROW() - 2)),"")</f>
        <v/>
      </c>
      <c r="R11" s="341" t="str">
        <f ca="1">IF(SUM(R8:INDIRECT("R" &amp; ROW() - 2))=0,"",AVERAGE(R8:INDIRECT("R" &amp; ROW() - 2)))</f>
        <v/>
      </c>
      <c r="S11" s="345" t="str">
        <f ca="1">IFERROR(AVERAGE(S8:INDIRECT("S" &amp; ROW() - 2)),"")</f>
        <v/>
      </c>
      <c r="T11" s="341" t="str">
        <f ca="1">IFERROR(AVERAGE(T8:INDIRECT("T" &amp; ROW() - 2)),"")</f>
        <v/>
      </c>
      <c r="U11" s="346" t="str">
        <f ca="1">IFERROR(SUMPRODUCT(U8:INDIRECT("U" &amp; ROW() - 2),R8:INDIRECT("R" &amp; ROW() - 2))/SUM(R8:INDIRECT("R" &amp; ROW() - 2)),"")</f>
        <v/>
      </c>
      <c r="V11" s="341" t="str">
        <f ca="1">IF(SUM(V8:INDIRECT("V" &amp; ROW() - 2))=0,"",AVERAGE(V8:INDIRECT("V" &amp; ROW() - 2)))</f>
        <v/>
      </c>
      <c r="W11" s="345" t="str">
        <f ca="1">IFERROR(AVERAGE(W8:INDIRECT("W" &amp; ROW() - 2)),"")</f>
        <v/>
      </c>
      <c r="X11" s="341" t="str">
        <f ca="1">IFERROR(AVERAGE(X8:INDIRECT("X" &amp; ROW() - 2)),"")</f>
        <v/>
      </c>
      <c r="Y11" s="346" t="str">
        <f ca="1">IFERROR(SUMPRODUCT(Y8:INDIRECT("Y" &amp; ROW() - 2),V8:INDIRECT("V" &amp; ROW() - 2))/SUM(V8:INDIRECT("V" &amp; ROW() - 2)),"")</f>
        <v/>
      </c>
      <c r="Z11" s="341" t="str">
        <f ca="1">IF(SUM(Z8:INDIRECT("Z" &amp; ROW() - 2))=0,"",AVERAGE(Z8:INDIRECT("Z" &amp; ROW() - 2)))</f>
        <v/>
      </c>
      <c r="AA11" s="345" t="str">
        <f ca="1">IFERROR(AVERAGE(AA8:INDIRECT("AA" &amp; ROW() - 2)),"")</f>
        <v/>
      </c>
      <c r="AB11" s="341" t="str">
        <f ca="1">IFERROR(AVERAGE(AB8:INDIRECT("AB" &amp; ROW() - 2)),"")</f>
        <v/>
      </c>
      <c r="AC11" s="346" t="str">
        <f ca="1">IFERROR(SUMPRODUCT(AC8:INDIRECT("AC" &amp; ROW() - 2),Z8:INDIRECT("Z" &amp; ROW() - 2))/SUM(Z8:INDIRECT("Z" &amp; ROW() - 2)),"")</f>
        <v/>
      </c>
    </row>
    <row r="12" spans="1:29" x14ac:dyDescent="0.35">
      <c r="B12" s="19" t="s">
        <v>186</v>
      </c>
    </row>
  </sheetData>
  <mergeCells count="5">
    <mergeCell ref="J6:M6"/>
    <mergeCell ref="N6:Q6"/>
    <mergeCell ref="R6:U6"/>
    <mergeCell ref="V6:Y6"/>
    <mergeCell ref="Z6:AC6"/>
  </mergeCells>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4981-B5D7-4480-8A6A-86D1E0A1494F}">
  <dimension ref="A2:O29"/>
  <sheetViews>
    <sheetView workbookViewId="0" zoomScaleNormal="100"/>
  </sheetViews>
  <sheetFormatPr defaultColWidth="11.26953125" defaultRowHeight="14.5" x14ac:dyDescent="0.35"/>
  <cols>
    <col min="1" max="1" customWidth="true" style="1" width="2.54296875" collapsed="false"/>
    <col min="2" max="2" customWidth="true" style="551" width="34.54296875" collapsed="false"/>
    <col min="3" max="3" customWidth="true" style="549" width="6.54296875" collapsed="false"/>
    <col min="4" max="6" customWidth="true" style="550" width="6.54296875" collapsed="false"/>
    <col min="7" max="7" customWidth="true" style="549" width="17.81640625" collapsed="false"/>
    <col min="8" max="9" style="548" width="11.26953125" collapsed="false"/>
    <col min="10" max="11" style="643" width="11.26953125" collapsed="false"/>
    <col min="12" max="12" style="649" width="11.26953125" collapsed="false"/>
    <col min="13" max="16384" style="35" width="11.26953125" collapsed="false"/>
  </cols>
  <sheetData>
    <row ht="18.5" r="2" spans="1:14" x14ac:dyDescent="0.35">
      <c r="B2" s="4" t="s">
        <v>408</v>
      </c>
    </row>
    <row ht="18.5" r="3" spans="1:14" x14ac:dyDescent="0.35">
      <c r="B3" s="3" t="str">
        <f>IF(LEN("{property.name}")&gt;1,"{property.name}"&amp;" | "&amp;"{property.number_units}"&amp;" Units","{property.number_units}"&amp;" Units")</f>
        <v>{property.name} | {property.number_units} Units</v>
      </c>
    </row>
    <row ht="18.5" r="4" spans="1:14" x14ac:dyDescent="0.35">
      <c r="B4" s="5" t="s">
        <v>0</v>
      </c>
      <c r="M4" s="649"/>
      <c r="N4" s="649"/>
    </row>
    <row r="5" spans="1:14" x14ac:dyDescent="0.35">
      <c r="M5" s="649"/>
      <c r="N5" s="649"/>
    </row>
    <row r="6" spans="1:14" x14ac:dyDescent="0.35">
      <c r="B6" s="554" t="s">
        <v>425</v>
      </c>
      <c r="C6" s="552"/>
      <c r="D6" s="553"/>
      <c r="E6" s="553"/>
      <c r="F6" s="553"/>
      <c r="G6" s="651"/>
      <c r="H6" s="213" t="s">
        <v>424</v>
      </c>
      <c r="I6" s="650"/>
      <c r="J6" s="631"/>
      <c r="K6" s="675"/>
      <c r="M6" s="649"/>
      <c r="N6" s="649"/>
    </row>
    <row customFormat="1" r="7" s="649" spans="1:14" x14ac:dyDescent="0.35">
      <c r="A7" s="563"/>
      <c r="B7" s="568" t="s">
        <v>393</v>
      </c>
      <c r="C7" s="564" t="s">
        <v>392</v>
      </c>
      <c r="D7" s="566" t="s">
        <v>391</v>
      </c>
      <c r="E7" s="565" t="s">
        <v>390</v>
      </c>
      <c r="F7" s="565" t="s">
        <v>161</v>
      </c>
      <c r="G7" s="564"/>
      <c r="H7" s="648" t="s">
        <v>421</v>
      </c>
      <c r="I7" s="567" t="s">
        <v>422</v>
      </c>
      <c r="J7" s="567" t="s">
        <v>423</v>
      </c>
      <c r="K7" s="648" t="s">
        <v>388</v>
      </c>
      <c r="L7" s="658"/>
    </row>
    <row customFormat="1" r="8" s="649" spans="1:14" x14ac:dyDescent="0.35">
      <c r="A8" s="563"/>
      <c r="B8" s="569" t="s">
        <v>407</v>
      </c>
      <c r="C8" s="634"/>
      <c r="D8" s="635" t="s">
        <v>406</v>
      </c>
      <c r="E8" s="635"/>
      <c r="F8" s="635"/>
      <c r="G8" s="634"/>
      <c r="H8" s="657" t="s">
        <v>405</v>
      </c>
      <c r="I8" s="657" t="s">
        <v>404</v>
      </c>
      <c r="J8" s="657" t="s">
        <v>403</v>
      </c>
      <c r="K8" s="676" t="s">
        <v>402</v>
      </c>
    </row>
    <row customFormat="1" r="9" s="649" spans="1:14" x14ac:dyDescent="0.35">
      <c r="A9" s="563"/>
      <c r="B9" s="636"/>
      <c r="C9" s="637"/>
      <c r="D9" s="638"/>
      <c r="E9" s="638"/>
      <c r="F9" s="638"/>
      <c r="G9" s="637"/>
      <c r="H9" s="639"/>
      <c r="I9" s="639"/>
      <c r="J9" s="639"/>
      <c r="K9" s="643"/>
    </row>
    <row customFormat="1" r="10" s="649" spans="1:14" x14ac:dyDescent="0.35">
      <c r="A10" s="563"/>
      <c r="B10" s="558"/>
      <c r="C10" s="557"/>
      <c r="D10" s="555"/>
      <c r="E10" s="555"/>
      <c r="F10" s="555"/>
      <c r="G10" s="557"/>
      <c r="H10" s="556"/>
      <c r="I10" s="556"/>
      <c r="J10" s="556"/>
      <c r="K10" s="556"/>
    </row>
    <row r="11" spans="1:14" x14ac:dyDescent="0.35">
      <c r="B11" s="554" t="s">
        <v>426</v>
      </c>
      <c r="C11" s="552"/>
      <c r="D11" s="553"/>
      <c r="E11" s="553"/>
      <c r="F11" s="553"/>
      <c r="G11" s="651"/>
      <c r="H11" s="213" t="s">
        <v>424</v>
      </c>
      <c r="I11" s="650"/>
      <c r="J11" s="631"/>
      <c r="K11" s="675"/>
      <c r="M11" s="649"/>
      <c r="N11" s="649"/>
    </row>
    <row customFormat="1" r="12" s="649" spans="1:14" x14ac:dyDescent="0.35">
      <c r="A12" s="563"/>
      <c r="B12" s="568" t="s">
        <v>393</v>
      </c>
      <c r="C12" s="564" t="s">
        <v>392</v>
      </c>
      <c r="D12" s="566" t="s">
        <v>391</v>
      </c>
      <c r="E12" s="565" t="s">
        <v>390</v>
      </c>
      <c r="F12" s="565" t="s">
        <v>161</v>
      </c>
      <c r="G12" s="564"/>
      <c r="H12" s="648" t="s">
        <v>421</v>
      </c>
      <c r="I12" s="567" t="s">
        <v>422</v>
      </c>
      <c r="J12" s="567" t="s">
        <v>423</v>
      </c>
      <c r="K12" s="648" t="s">
        <v>388</v>
      </c>
      <c r="L12" s="658"/>
    </row>
    <row customFormat="1" r="13" s="649" spans="1:14" x14ac:dyDescent="0.35">
      <c r="A13" s="563"/>
      <c r="B13" s="569" t="s">
        <v>401</v>
      </c>
      <c r="C13" s="634"/>
      <c r="D13" s="635" t="s">
        <v>400</v>
      </c>
      <c r="E13" s="635" t="s">
        <v>399</v>
      </c>
      <c r="F13" s="635" t="s">
        <v>398</v>
      </c>
      <c r="G13" s="634"/>
      <c r="H13" s="657" t="s">
        <v>397</v>
      </c>
      <c r="I13" s="657" t="s">
        <v>396</v>
      </c>
      <c r="J13" s="657" t="s">
        <v>395</v>
      </c>
      <c r="K13" s="676" t="s">
        <v>394</v>
      </c>
    </row>
    <row customFormat="1" r="14" s="649" spans="1:14" x14ac:dyDescent="0.35">
      <c r="A14" s="563"/>
      <c r="B14" s="636"/>
      <c r="C14" s="637"/>
      <c r="D14" s="638"/>
      <c r="E14" s="638"/>
      <c r="F14" s="638"/>
      <c r="G14" s="637"/>
      <c r="H14" s="639"/>
      <c r="I14" s="639"/>
      <c r="J14" s="639"/>
      <c r="K14" s="643"/>
    </row>
    <row customFormat="1" r="15" s="649" spans="1:14" x14ac:dyDescent="0.35">
      <c r="A15" s="563"/>
      <c r="B15" s="640"/>
      <c r="C15" s="641"/>
      <c r="D15" s="642"/>
      <c r="E15" s="555"/>
      <c r="F15" s="555"/>
      <c r="G15" s="641"/>
      <c r="H15" s="643"/>
      <c r="I15" s="643"/>
      <c r="J15" s="643"/>
      <c r="K15" s="643"/>
    </row>
    <row r="16" spans="1:14" x14ac:dyDescent="0.35">
      <c r="B16" s="554" t="s">
        <v>427</v>
      </c>
      <c r="C16" s="552"/>
      <c r="D16" s="553"/>
      <c r="E16" s="553"/>
      <c r="F16" s="553"/>
      <c r="G16" s="651"/>
      <c r="H16" s="213" t="s">
        <v>424</v>
      </c>
      <c r="I16" s="650"/>
      <c r="J16" s="650"/>
      <c r="K16" s="675"/>
      <c r="M16" s="649"/>
      <c r="N16" s="649"/>
    </row>
    <row customFormat="1" r="17" s="649" spans="1:14" x14ac:dyDescent="0.35">
      <c r="A17" s="563"/>
      <c r="B17" s="568" t="s">
        <v>393</v>
      </c>
      <c r="C17" s="564" t="s">
        <v>392</v>
      </c>
      <c r="D17" s="566" t="s">
        <v>391</v>
      </c>
      <c r="E17" s="565" t="s">
        <v>390</v>
      </c>
      <c r="F17" s="565" t="s">
        <v>161</v>
      </c>
      <c r="G17" s="564" t="s">
        <v>389</v>
      </c>
      <c r="H17" s="648" t="s">
        <v>421</v>
      </c>
      <c r="I17" s="567" t="s">
        <v>422</v>
      </c>
      <c r="J17" s="567" t="s">
        <v>423</v>
      </c>
      <c r="K17" s="648" t="s">
        <v>388</v>
      </c>
      <c r="L17" s="658"/>
    </row>
    <row customFormat="1" r="18" s="649" spans="1:14" x14ac:dyDescent="0.35">
      <c r="A18" s="563"/>
      <c r="B18" s="569" t="s">
        <v>387</v>
      </c>
      <c r="C18" s="634" t="s">
        <v>386</v>
      </c>
      <c r="D18" s="635" t="s">
        <v>385</v>
      </c>
      <c r="E18" s="635" t="s">
        <v>384</v>
      </c>
      <c r="F18" s="635" t="s">
        <v>71</v>
      </c>
      <c r="G18" s="634" t="s">
        <v>380</v>
      </c>
      <c r="H18" s="657" t="s">
        <v>383</v>
      </c>
      <c r="I18" s="657" t="s">
        <v>382</v>
      </c>
      <c r="J18" s="657" t="s">
        <v>381</v>
      </c>
      <c r="K18" s="676" t="s">
        <v>379</v>
      </c>
    </row>
    <row customFormat="1" r="19" s="649" spans="1:14" x14ac:dyDescent="0.35">
      <c r="A19" s="563"/>
      <c r="B19" s="636"/>
      <c r="C19" s="637"/>
      <c r="D19" s="638"/>
      <c r="E19" s="638"/>
      <c r="F19" s="638"/>
      <c r="G19" s="637"/>
      <c r="H19" s="639"/>
      <c r="I19" s="639"/>
      <c r="J19" s="639"/>
      <c r="K19" s="643"/>
    </row>
    <row customFormat="1" r="20" s="649" spans="1:14" x14ac:dyDescent="0.35">
      <c r="A20" s="563"/>
      <c r="B20" s="640"/>
      <c r="C20" s="641"/>
      <c r="D20" s="642"/>
      <c r="E20" s="642"/>
      <c r="F20" s="642"/>
      <c r="G20" s="641"/>
      <c r="H20" s="643"/>
      <c r="I20" s="643"/>
      <c r="J20" s="643"/>
      <c r="K20" s="643"/>
    </row>
    <row customFormat="1" r="21" s="649" spans="1:14" x14ac:dyDescent="0.35">
      <c r="A21" s="563"/>
      <c r="B21" s="640"/>
      <c r="C21" s="641"/>
      <c r="D21" s="642"/>
      <c r="E21" s="642"/>
      <c r="F21" s="642"/>
      <c r="G21" s="641"/>
      <c r="H21" s="643"/>
      <c r="I21" s="643"/>
      <c r="J21" s="643"/>
      <c r="K21" s="643"/>
    </row>
    <row r="22" spans="1:14" x14ac:dyDescent="0.35">
      <c r="M22" s="649"/>
      <c r="N22" s="649"/>
    </row>
    <row r="23" spans="1:14" x14ac:dyDescent="0.35">
      <c r="M23" s="649"/>
      <c r="N23" s="649"/>
    </row>
    <row r="24" spans="1:14" x14ac:dyDescent="0.35">
      <c r="M24" s="649"/>
      <c r="N24" s="649"/>
    </row>
    <row r="25" spans="1:14" x14ac:dyDescent="0.35">
      <c r="M25" s="649"/>
      <c r="N25" s="649"/>
    </row>
    <row r="26" spans="1:14" x14ac:dyDescent="0.35">
      <c r="M26" s="649"/>
      <c r="N26" s="649"/>
    </row>
    <row r="27" spans="1:14" x14ac:dyDescent="0.35">
      <c r="M27" s="649"/>
      <c r="N27" s="649"/>
    </row>
    <row r="28" spans="1:14" x14ac:dyDescent="0.35">
      <c r="M28" s="649"/>
      <c r="N28" s="649"/>
    </row>
    <row r="29" spans="1:14" x14ac:dyDescent="0.35">
      <c r="M29" s="649"/>
      <c r="N29" s="649"/>
    </row>
  </sheetData>
  <pageMargins bottom="0.75" footer="0.3" header="0.3" left="0.7" right="0.7" top="0.75"/>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34FB9-451B-4514-879E-778B11E801E7}">
  <dimension ref="B2:M55"/>
  <sheetViews>
    <sheetView tabSelected="1" workbookViewId="0" zoomScaleNormal="100"/>
  </sheetViews>
  <sheetFormatPr defaultColWidth="9.1796875" defaultRowHeight="14.5" x14ac:dyDescent="0.35"/>
  <cols>
    <col min="1" max="1" customWidth="true" style="54" width="2.7265625" collapsed="false"/>
    <col min="2" max="2" customWidth="true" style="54" width="11.7265625" collapsed="false"/>
    <col min="3" max="3" style="54" width="9.1796875" collapsed="false"/>
    <col min="4" max="5" customWidth="true" style="55" width="12.1796875" collapsed="false"/>
    <col min="6" max="6" customWidth="true" style="516" width="12.1796875" collapsed="false"/>
    <col min="7" max="7" customWidth="true" style="55" width="12.1796875" collapsed="false"/>
    <col min="8" max="8" customWidth="true" style="516" width="12.1796875" collapsed="false"/>
    <col min="9" max="9" customWidth="true" style="55" width="12.1796875" collapsed="false"/>
    <col min="10" max="10" customWidth="true" style="516" width="12.1796875" collapsed="false"/>
    <col min="11" max="11" customWidth="true" style="55" width="12.1796875" collapsed="false"/>
    <col min="12" max="12" customWidth="true" style="516" width="12.1796875" collapsed="false"/>
    <col min="13" max="13" style="54" width="9.1796875" collapsed="false"/>
    <col min="14" max="14" bestFit="true" customWidth="true" style="54" width="35.54296875" collapsed="false"/>
    <col min="15" max="16" style="54" width="9.1796875" collapsed="false"/>
    <col min="17" max="21" bestFit="true" customWidth="true" style="54" width="10.26953125" collapsed="false"/>
    <col min="22" max="16384" style="54" width="9.1796875" collapsed="false"/>
  </cols>
  <sheetData>
    <row ht="18.5" r="2" spans="2:12" x14ac:dyDescent="0.35">
      <c r="B2" s="949" t="s">
        <v>347</v>
      </c>
    </row>
    <row ht="18.5" r="3" spans="2:12" x14ac:dyDescent="0.35">
      <c r="B3" s="950" t="str">
        <f>IF(LEN("{property.name}")&gt;1,"{property.name}"&amp;" | "&amp;"{property.number_units}"&amp;" Units","{property.number_units}"&amp;" Units")</f>
        <v>{property.name} | {property.number_units} Units</v>
      </c>
    </row>
    <row ht="18.5" r="4" spans="2:12" x14ac:dyDescent="0.35">
      <c r="B4" s="951" t="s">
        <v>0</v>
      </c>
    </row>
    <row ht="18.5" r="6" spans="2:12" x14ac:dyDescent="0.35">
      <c r="B6" s="709" t="s">
        <v>474</v>
      </c>
    </row>
    <row r="7" spans="2:12" x14ac:dyDescent="0.35">
      <c r="D7" s="54"/>
      <c r="E7" s="54"/>
      <c r="F7" s="54"/>
      <c r="G7" s="54"/>
      <c r="H7" s="54"/>
      <c r="I7" s="54"/>
      <c r="J7" s="54"/>
      <c r="K7" s="54"/>
      <c r="L7" s="54"/>
    </row>
    <row r="8" spans="2:12" x14ac:dyDescent="0.35">
      <c r="B8" s="934" t="s">
        <v>473</v>
      </c>
      <c r="C8" s="935"/>
      <c r="D8" s="935"/>
      <c r="E8" s="935"/>
      <c r="F8" s="935"/>
      <c r="G8" s="936"/>
      <c r="H8" s="936" t="s">
        <v>125</v>
      </c>
      <c r="I8" s="937" t="s">
        <v>127</v>
      </c>
      <c r="J8" s="937" t="s">
        <v>129</v>
      </c>
      <c r="K8" s="937" t="s">
        <v>131</v>
      </c>
      <c r="L8" s="938" t="s">
        <v>133</v>
      </c>
    </row>
    <row r="9" spans="2:12" x14ac:dyDescent="0.35">
      <c r="B9" s="907" t="s">
        <v>334</v>
      </c>
      <c r="C9" s="908"/>
      <c r="D9" s="908"/>
      <c r="E9" s="908"/>
      <c r="F9" s="908"/>
      <c r="G9" s="909"/>
      <c r="H9" s="914" t="str">
        <f>IFERROR(VLOOKUP(H$8,'Unit Mix'!$B$8:$Q$12,7,0),"")</f>
        <v/>
      </c>
      <c r="I9" s="917" t="str">
        <f>IFERROR(VLOOKUP(I$8,'Unit Mix'!$B$8:$Q$12,7,0),"")</f>
        <v/>
      </c>
      <c r="J9" s="917" t="str">
        <f>IFERROR(VLOOKUP(J$8,'Unit Mix'!$B$8:$Q$12,7,0),"")</f>
        <v/>
      </c>
      <c r="K9" s="917" t="str">
        <f>IFERROR(VLOOKUP(K$8,'Unit Mix'!$B$8:$Q$12,7,0),"")</f>
        <v/>
      </c>
      <c r="L9" s="921" t="str">
        <f>IFERROR(VLOOKUP(L$8,'Unit Mix'!$B$8:$Q$12,7,0),"")</f>
        <v/>
      </c>
    </row>
    <row r="10" spans="2:12" x14ac:dyDescent="0.35">
      <c r="B10" s="901" t="s">
        <v>374</v>
      </c>
      <c r="C10" s="900"/>
      <c r="D10" s="900"/>
      <c r="E10" s="900"/>
      <c r="F10" s="900"/>
      <c r="G10" s="900"/>
      <c r="H10" s="913" t="str">
        <f>IFERROR(VLOOKUP(H$8,'Unit Mix'!$B$8:$Q$12,11,0),"")</f>
        <v/>
      </c>
      <c r="I10" s="918" t="str">
        <f>IFERROR(VLOOKUP(I$8,'Unit Mix'!$B$8:$Q$12,9,0),"")</f>
        <v/>
      </c>
      <c r="J10" s="918" t="str">
        <f>IFERROR(VLOOKUP(J$8,'Unit Mix'!$B$8:$Q$12,9,0),"")</f>
        <v/>
      </c>
      <c r="K10" s="918" t="str">
        <f>IFERROR(VLOOKUP(K$8,'Unit Mix'!$B$8:$Q$12,9,0),"")</f>
        <v/>
      </c>
      <c r="L10" s="922" t="str">
        <f>IFERROR(VLOOKUP(L$8,'Unit Mix'!$B$8:$Q$12,9,0),"")</f>
        <v/>
      </c>
    </row>
    <row r="11" spans="2:12" x14ac:dyDescent="0.35">
      <c r="B11" s="898" t="s">
        <v>336</v>
      </c>
      <c r="C11" s="939"/>
      <c r="D11" s="939"/>
      <c r="E11" s="939"/>
      <c r="F11" s="939"/>
      <c r="G11" s="939"/>
      <c r="H11" s="940" t="str">
        <f>IFERROR(VLOOKUP(H$8,'Unit Mix'!$B$8:$Q$12,13,0),"")</f>
        <v/>
      </c>
      <c r="I11" s="941" t="str">
        <f>IFERROR(VLOOKUP(I$8,'Unit Mix'!$B$8:$Q$12,13,0),"")</f>
        <v/>
      </c>
      <c r="J11" s="941" t="str">
        <f>IFERROR(VLOOKUP(J$8,'Unit Mix'!$B$8:$Q$12,13,0),"")</f>
        <v/>
      </c>
      <c r="K11" s="941" t="str">
        <f>IFERROR(VLOOKUP(K$8,'Unit Mix'!$B$8:$Q$12,13,0),"")</f>
        <v/>
      </c>
      <c r="L11" s="942" t="str">
        <f>IFERROR(VLOOKUP(L$8,'Unit Mix'!$B$8:$Q$12,13,0),"")</f>
        <v/>
      </c>
    </row>
    <row r="12" spans="2:12" x14ac:dyDescent="0.35">
      <c r="B12" s="896" t="s">
        <v>156</v>
      </c>
      <c r="C12" s="897"/>
      <c r="D12" s="897"/>
      <c r="E12" s="897"/>
      <c r="F12" s="897"/>
      <c r="G12" s="897"/>
      <c r="H12" s="915" t="str">
        <f ca="1">VLOOKUP("Average",'Similar Properties'!$B:$AC,10,0)</f>
        <v/>
      </c>
      <c r="I12" s="919" t="str">
        <f ca="1">VLOOKUP("Average",'Similar Properties'!$B:$AC,14,0)</f>
        <v/>
      </c>
      <c r="J12" s="919" t="str">
        <f ca="1">VLOOKUP("Average",'Similar Properties'!$B:$AC,18,0)</f>
        <v/>
      </c>
      <c r="K12" s="919" t="str">
        <f ca="1">VLOOKUP("Average",'Similar Properties'!$B:$AC,22,0)</f>
        <v/>
      </c>
      <c r="L12" s="923" t="str">
        <f ca="1">VLOOKUP("Average",'Similar Properties'!$B:$AC,26,0)</f>
        <v/>
      </c>
    </row>
    <row r="13" spans="2:12" x14ac:dyDescent="0.35">
      <c r="B13" s="906" t="s">
        <v>335</v>
      </c>
      <c r="C13" s="943"/>
      <c r="D13" s="943"/>
      <c r="E13" s="943"/>
      <c r="F13" s="943"/>
      <c r="G13" s="944"/>
      <c r="H13" s="945" t="str">
        <f>IF(ISNUMBER(K35),K35,"")</f>
        <v/>
      </c>
      <c r="I13" s="946" t="str">
        <f>IF(ISNUMBER(K36),K36,"")</f>
        <v/>
      </c>
      <c r="J13" s="946" t="str">
        <f>IF(ISNUMBER(K37),K37,"")</f>
        <v/>
      </c>
      <c r="K13" s="946" t="str">
        <f>IF(ISNUMBER(K38),K38,"")</f>
        <v/>
      </c>
      <c r="L13" s="947" t="str">
        <f>IF(ISNUMBER(K39),K39,"")</f>
        <v/>
      </c>
    </row>
    <row r="14" spans="2:12" x14ac:dyDescent="0.35">
      <c r="B14" s="910" t="s">
        <v>55</v>
      </c>
      <c r="C14" s="911"/>
      <c r="D14" s="911"/>
      <c r="E14" s="911"/>
      <c r="F14" s="911"/>
      <c r="G14" s="912"/>
      <c r="H14" s="916" t="str">
        <f ca="1">IFERROR(AVERAGE(H10:H13),"")</f>
        <v/>
      </c>
      <c r="I14" s="920" t="str">
        <f ca="1" ref="I14:L14" si="0" t="shared">IFERROR(AVERAGE(I10:I13),"")</f>
        <v/>
      </c>
      <c r="J14" s="920" t="str">
        <f ca="1" si="0" t="shared"/>
        <v/>
      </c>
      <c r="K14" s="920" t="str">
        <f ca="1" si="0" t="shared"/>
        <v/>
      </c>
      <c r="L14" s="924" t="str">
        <f ca="1" si="0" t="shared"/>
        <v/>
      </c>
    </row>
    <row r="15" spans="2:12" x14ac:dyDescent="0.35">
      <c r="B15" s="954" t="s">
        <v>475</v>
      </c>
      <c r="C15" s="954"/>
      <c r="D15" s="954"/>
      <c r="E15" s="954"/>
      <c r="F15" s="954"/>
      <c r="G15" s="954"/>
      <c r="H15" s="954"/>
      <c r="I15" s="954"/>
      <c r="J15" s="954"/>
      <c r="K15" s="954"/>
      <c r="L15" s="954"/>
    </row>
    <row r="16" spans="2:12" x14ac:dyDescent="0.35">
      <c r="B16" s="954"/>
      <c r="C16" s="954"/>
      <c r="D16" s="954"/>
      <c r="E16" s="954"/>
      <c r="F16" s="954"/>
      <c r="G16" s="954"/>
      <c r="H16" s="954"/>
      <c r="I16" s="954"/>
      <c r="J16" s="954"/>
      <c r="K16" s="954"/>
      <c r="L16" s="954"/>
    </row>
    <row r="17" spans="2:12" x14ac:dyDescent="0.35">
      <c r="B17" s="956"/>
      <c r="C17" s="956"/>
      <c r="D17" s="956"/>
      <c r="E17" s="956"/>
      <c r="F17" s="956"/>
      <c r="G17" s="956"/>
      <c r="H17" s="956"/>
      <c r="I17" s="956"/>
      <c r="J17" s="956"/>
      <c r="K17" s="956"/>
      <c r="L17" s="956"/>
    </row>
    <row r="18" spans="2:12" x14ac:dyDescent="0.35">
      <c r="B18" s="948"/>
      <c r="C18" s="948"/>
      <c r="D18" s="948"/>
      <c r="E18" s="948"/>
      <c r="F18" s="948"/>
      <c r="G18" s="948"/>
      <c r="H18" s="948"/>
      <c r="I18" s="948"/>
      <c r="J18" s="948"/>
      <c r="K18" s="948"/>
      <c r="L18" s="948"/>
    </row>
    <row r="19" spans="2:12" x14ac:dyDescent="0.35">
      <c r="B19" s="948"/>
      <c r="C19" s="948"/>
      <c r="D19" s="948"/>
      <c r="E19" s="948"/>
      <c r="F19" s="948"/>
      <c r="G19" s="948"/>
      <c r="H19" s="948"/>
      <c r="I19" s="948"/>
      <c r="J19" s="948"/>
      <c r="K19" s="948"/>
      <c r="L19" s="948"/>
    </row>
    <row r="20" spans="2:12" x14ac:dyDescent="0.35">
      <c r="B20" s="948"/>
      <c r="C20" s="948"/>
      <c r="D20" s="948"/>
      <c r="E20" s="948"/>
      <c r="F20" s="948"/>
      <c r="G20" s="948"/>
      <c r="H20" s="948"/>
      <c r="I20" s="948"/>
      <c r="J20" s="948"/>
      <c r="K20" s="948"/>
      <c r="L20" s="948"/>
    </row>
    <row r="21" spans="2:12" x14ac:dyDescent="0.35">
      <c r="B21" s="948"/>
      <c r="C21" s="948"/>
      <c r="D21" s="948"/>
      <c r="E21" s="948"/>
      <c r="F21" s="948"/>
      <c r="G21" s="948"/>
      <c r="H21" s="948"/>
      <c r="I21" s="948"/>
      <c r="J21" s="948"/>
      <c r="K21" s="948"/>
      <c r="L21" s="948"/>
    </row>
    <row r="22" spans="2:12" x14ac:dyDescent="0.35">
      <c r="B22" s="948"/>
      <c r="C22" s="948"/>
      <c r="D22" s="948"/>
      <c r="E22" s="948"/>
      <c r="F22" s="948"/>
      <c r="G22" s="948"/>
      <c r="H22" s="948"/>
      <c r="I22" s="948"/>
      <c r="J22" s="948"/>
      <c r="K22" s="948"/>
      <c r="L22" s="948"/>
    </row>
    <row r="23" spans="2:12" x14ac:dyDescent="0.35">
      <c r="B23" s="948"/>
      <c r="C23" s="948"/>
      <c r="D23" s="948"/>
      <c r="E23" s="948"/>
      <c r="F23" s="948"/>
      <c r="G23" s="948"/>
      <c r="H23" s="948"/>
      <c r="I23" s="948"/>
      <c r="J23" s="948"/>
      <c r="K23" s="948"/>
      <c r="L23" s="948"/>
    </row>
    <row r="24" spans="2:12" x14ac:dyDescent="0.35">
      <c r="B24" s="948"/>
      <c r="C24" s="948"/>
      <c r="D24" s="948"/>
      <c r="E24" s="948"/>
      <c r="F24" s="948"/>
      <c r="G24" s="948"/>
      <c r="H24" s="948"/>
      <c r="I24" s="948"/>
      <c r="J24" s="948"/>
      <c r="K24" s="948"/>
      <c r="L24" s="948"/>
    </row>
    <row r="25" spans="2:12" x14ac:dyDescent="0.35">
      <c r="B25" s="948"/>
      <c r="C25" s="948"/>
      <c r="D25" s="948"/>
      <c r="E25" s="948"/>
      <c r="F25" s="948"/>
      <c r="G25" s="948"/>
      <c r="H25" s="948"/>
      <c r="I25" s="948"/>
      <c r="J25" s="948"/>
      <c r="K25" s="948"/>
      <c r="L25" s="948"/>
    </row>
    <row r="26" spans="2:12" x14ac:dyDescent="0.35">
      <c r="B26" s="948"/>
      <c r="C26" s="948"/>
      <c r="D26" s="948"/>
      <c r="E26" s="948"/>
      <c r="F26" s="948"/>
      <c r="G26" s="948"/>
      <c r="H26" s="948"/>
      <c r="I26" s="948"/>
      <c r="J26" s="948"/>
      <c r="K26" s="948"/>
      <c r="L26" s="948"/>
    </row>
    <row r="27" spans="2:12" x14ac:dyDescent="0.35">
      <c r="B27" s="948"/>
      <c r="C27" s="948"/>
      <c r="D27" s="948"/>
      <c r="E27" s="948"/>
      <c r="F27" s="948"/>
      <c r="G27" s="948"/>
      <c r="H27" s="948"/>
      <c r="I27" s="948"/>
      <c r="J27" s="948"/>
      <c r="K27" s="948"/>
      <c r="L27" s="948"/>
    </row>
    <row r="28" spans="2:12" x14ac:dyDescent="0.35">
      <c r="B28" s="948"/>
      <c r="C28" s="948"/>
      <c r="D28" s="948"/>
      <c r="E28" s="948"/>
      <c r="F28" s="948"/>
      <c r="G28" s="948"/>
      <c r="H28" s="948"/>
      <c r="I28" s="948"/>
      <c r="J28" s="948"/>
      <c r="K28" s="948"/>
      <c r="L28" s="948"/>
    </row>
    <row r="29" spans="2:12" x14ac:dyDescent="0.35">
      <c r="B29" s="948"/>
      <c r="C29" s="948"/>
      <c r="D29" s="948"/>
      <c r="E29" s="948"/>
      <c r="F29" s="948"/>
      <c r="G29" s="948"/>
      <c r="H29" s="948"/>
      <c r="I29" s="948"/>
      <c r="J29" s="948"/>
      <c r="K29" s="948"/>
      <c r="L29" s="948"/>
    </row>
    <row ht="18.5" r="32" spans="2:12" x14ac:dyDescent="0.35">
      <c r="B32" s="709" t="s">
        <v>476</v>
      </c>
      <c r="C32" s="571"/>
    </row>
    <row customFormat="1" ht="29" r="34" s="56" spans="2:12" x14ac:dyDescent="0.35">
      <c r="B34" s="925" t="s">
        <v>39</v>
      </c>
      <c r="C34" s="952" t="s">
        <v>86</v>
      </c>
      <c r="D34" s="953" t="s">
        <v>334</v>
      </c>
      <c r="E34" s="926" t="s">
        <v>374</v>
      </c>
      <c r="F34" s="927" t="s">
        <v>415</v>
      </c>
      <c r="G34" s="928" t="s">
        <v>336</v>
      </c>
      <c r="H34" s="929" t="s">
        <v>415</v>
      </c>
      <c r="I34" s="930" t="s">
        <v>156</v>
      </c>
      <c r="J34" s="931" t="s">
        <v>415</v>
      </c>
      <c r="K34" s="932" t="s">
        <v>335</v>
      </c>
      <c r="L34" s="933" t="s">
        <v>415</v>
      </c>
    </row>
    <row customFormat="1" r="35" s="56" spans="2:12" x14ac:dyDescent="0.35">
      <c r="B35" s="48" t="s">
        <v>125</v>
      </c>
      <c r="C35" s="44" t="str">
        <f ca="1">IFERROR(VLOOKUP(INDIRECT("B"&amp;ROW()),'Unit Mix'!$B$8:$Q$13,7,0),"")</f>
        <v/>
      </c>
      <c r="D35" s="50" t="str">
        <f>IFERROR(VLOOKUP(B35,'Unit Mix'!$B$8:$Q$13,11,0),"")</f>
        <v/>
      </c>
      <c r="E35" s="50" t="str">
        <f>IFERROR(VLOOKUP(B35,'Unit Mix'!$B$8:$Q$13,15,0),"")</f>
        <v/>
      </c>
      <c r="F35" s="517" t="str">
        <f>IFERROR((E35-$D35)/$D35,"")</f>
        <v/>
      </c>
      <c r="G35" s="45" t="str">
        <f ca="1">VLOOKUP("Average",'Similar Properties'!$B:$AC,10,0)</f>
        <v/>
      </c>
      <c r="H35" s="517" t="str">
        <f ca="1" ref="H35:J41" si="1" t="shared">IFERROR((G35-$D35)/$D35,"")</f>
        <v/>
      </c>
      <c r="I35" s="45" t="str">
        <f>IFERROR(VLOOKUP(B35,'Unit Mix'!$B$8:$Q$13,17,0),"")</f>
        <v/>
      </c>
      <c r="J35" s="517" t="str">
        <f>IFERROR((I35-$D35)/$D35,"")</f>
        <v/>
      </c>
      <c r="K35" s="45" t="s">
        <v>368</v>
      </c>
      <c r="L35" s="517" t="str">
        <f>IFERROR((K35-$D35)/$D35,"")</f>
        <v/>
      </c>
    </row>
    <row customFormat="1" r="36" s="56" spans="2:12" x14ac:dyDescent="0.35">
      <c r="B36" s="48" t="s">
        <v>127</v>
      </c>
      <c r="C36" s="44" t="str">
        <f ca="1">IFERROR(VLOOKUP(INDIRECT("B"&amp;ROW()),'Unit Mix'!$B$8:$Q$13,7,0),"")</f>
        <v/>
      </c>
      <c r="D36" s="50" t="str">
        <f>IFERROR(VLOOKUP(B36,'Unit Mix'!$B$8:$Q$13,11,0),"")</f>
        <v/>
      </c>
      <c r="E36" s="50" t="str">
        <f>IFERROR(VLOOKUP(B36,'Unit Mix'!$B$8:$Q$13,15,0),"")</f>
        <v/>
      </c>
      <c r="F36" s="517" t="str">
        <f>IFERROR((E36-$D36)/$D36,"")</f>
        <v/>
      </c>
      <c r="G36" s="45" t="str">
        <f ca="1">VLOOKUP("Average",'Similar Properties'!$B:$AC,14,0)</f>
        <v/>
      </c>
      <c r="H36" s="517" t="str">
        <f ca="1" si="1" t="shared"/>
        <v/>
      </c>
      <c r="I36" s="45" t="str">
        <f>IFERROR(VLOOKUP(B36,'Unit Mix'!$B$8:$Q$13,17,0),"")</f>
        <v/>
      </c>
      <c r="J36" s="517" t="str">
        <f>IFERROR((I36-$D36)/$D36,"")</f>
        <v/>
      </c>
      <c r="K36" s="45" t="s">
        <v>369</v>
      </c>
      <c r="L36" s="517" t="str">
        <f>IFERROR((K36-$D36)/$D36,"")</f>
        <v/>
      </c>
    </row>
    <row customFormat="1" r="37" s="56" spans="2:12" x14ac:dyDescent="0.35">
      <c r="B37" s="48" t="s">
        <v>129</v>
      </c>
      <c r="C37" s="44" t="str">
        <f ca="1">IFERROR(VLOOKUP(INDIRECT("B"&amp;ROW()),'Unit Mix'!$B$8:$Q$13,7,0),"")</f>
        <v/>
      </c>
      <c r="D37" s="50" t="str">
        <f>IFERROR(VLOOKUP(B37,'Unit Mix'!$B$8:$Q$13,11,0),"")</f>
        <v/>
      </c>
      <c r="E37" s="50" t="str">
        <f>IFERROR(VLOOKUP(B37,'Unit Mix'!$B$8:$Q$13,15,0),"")</f>
        <v/>
      </c>
      <c r="F37" s="517" t="str">
        <f>IFERROR((E37-$D37)/$D37,"")</f>
        <v/>
      </c>
      <c r="G37" s="45" t="str">
        <f ca="1">VLOOKUP("Average",'Similar Properties'!$B:$AC,18,0)</f>
        <v/>
      </c>
      <c r="H37" s="517" t="str">
        <f ca="1" si="1" t="shared"/>
        <v/>
      </c>
      <c r="I37" s="45" t="str">
        <f>IFERROR(VLOOKUP(B37,'Unit Mix'!$B$8:$Q$13,17,0),"")</f>
        <v/>
      </c>
      <c r="J37" s="517" t="str">
        <f>IFERROR((I37-$D37)/$D37,"")</f>
        <v/>
      </c>
      <c r="K37" s="45" t="s">
        <v>370</v>
      </c>
      <c r="L37" s="517" t="str">
        <f>IFERROR((K37-$D37)/$D37,"")</f>
        <v/>
      </c>
    </row>
    <row customFormat="1" r="38" s="56" spans="2:12" x14ac:dyDescent="0.35">
      <c r="B38" s="48" t="s">
        <v>131</v>
      </c>
      <c r="C38" s="44" t="str">
        <f ca="1">IFERROR(VLOOKUP(INDIRECT("B"&amp;ROW()),'Unit Mix'!$B$8:$Q$13,7,0),"")</f>
        <v/>
      </c>
      <c r="D38" s="50" t="str">
        <f>IFERROR(VLOOKUP(B38,'Unit Mix'!$B$8:$Q$13,11,0),"")</f>
        <v/>
      </c>
      <c r="E38" s="50" t="str">
        <f>IFERROR(VLOOKUP(B38,'Unit Mix'!$B$8:$Q$13,15,0),"")</f>
        <v/>
      </c>
      <c r="F38" s="517" t="str">
        <f>IFERROR((E38-$D38)/$D38,"")</f>
        <v/>
      </c>
      <c r="G38" s="45" t="str">
        <f ca="1">VLOOKUP("Average",'Similar Properties'!$B:$AC,22,0)</f>
        <v/>
      </c>
      <c r="H38" s="517" t="str">
        <f ca="1" si="1" t="shared"/>
        <v/>
      </c>
      <c r="I38" s="45" t="str">
        <f>IFERROR(VLOOKUP(B38,'Unit Mix'!$B$8:$Q$13,17,0),"")</f>
        <v/>
      </c>
      <c r="J38" s="517" t="str">
        <f>IFERROR((I38-$D38)/$D38,"")</f>
        <v/>
      </c>
      <c r="K38" s="45" t="s">
        <v>371</v>
      </c>
      <c r="L38" s="517" t="str">
        <f>IFERROR((K38-$D38)/$D38,"")</f>
        <v/>
      </c>
    </row>
    <row customFormat="1" r="39" s="56" spans="2:12" x14ac:dyDescent="0.35">
      <c r="B39" s="49" t="s">
        <v>133</v>
      </c>
      <c r="C39" s="47" t="str">
        <f ca="1">IFERROR(VLOOKUP(INDIRECT("B"&amp;ROW()),'Unit Mix'!$B$8:$Q$13,7,0),"")</f>
        <v/>
      </c>
      <c r="D39" s="51" t="str">
        <f>IFERROR(VLOOKUP(B39,'Unit Mix'!$B$8:$Q$13,11,0),"")</f>
        <v/>
      </c>
      <c r="E39" s="51" t="str">
        <f>IFERROR(VLOOKUP(B39,'Unit Mix'!$B$8:$Q$13,15,0),"")</f>
        <v/>
      </c>
      <c r="F39" s="518" t="str">
        <f>IFERROR((E39-$D39)/$D39,"")</f>
        <v/>
      </c>
      <c r="G39" s="46" t="str">
        <f ca="1">VLOOKUP("Average",'Similar Properties'!$B:$AC,26,0)</f>
        <v/>
      </c>
      <c r="H39" s="518" t="str">
        <f ca="1" si="1" t="shared"/>
        <v/>
      </c>
      <c r="I39" s="46" t="str">
        <f>IFERROR(VLOOKUP(B39,'Unit Mix'!$B$8:$Q$13,17,0),"")</f>
        <v/>
      </c>
      <c r="J39" s="518" t="str">
        <f>IFERROR((I39-$D39)/$D39,"")</f>
        <v/>
      </c>
      <c r="K39" s="46" t="s">
        <v>372</v>
      </c>
      <c r="L39" s="518" t="str">
        <f>IFERROR((K39-$D39)/$D39,"")</f>
        <v/>
      </c>
    </row>
    <row customFormat="1" r="40" s="57" spans="2:12" x14ac:dyDescent="0.35">
      <c r="B40" s="514" t="s">
        <v>337</v>
      </c>
      <c r="C40" s="521" t="str">
        <f ca="1">IF(SUM(C35:C39)&gt;0,SUM(C35:C39),"")</f>
        <v/>
      </c>
      <c r="D40" s="527">
        <f ca="1">IFERROR(SUMPRODUCT(D35:D39,$C35:$C39),"")</f>
        <v>0</v>
      </c>
      <c r="E40" s="527">
        <f ca="1">IFERROR(SUMPRODUCT(E35:E39,$C35:$C39),"")</f>
        <v>0</v>
      </c>
      <c r="F40" s="520" t="str">
        <f ca="1">IFERROR((E40-$D40)/$D40,"")</f>
        <v/>
      </c>
      <c r="G40" s="527">
        <f ca="1">IFERROR(SUMPRODUCT(G35:G39,$C35:$C39),"")</f>
        <v>0</v>
      </c>
      <c r="H40" s="520" t="str">
        <f ca="1" si="1" t="shared"/>
        <v/>
      </c>
      <c r="I40" s="527">
        <f ca="1">IFERROR(SUMPRODUCT(I35:I39,$C35:$C39),"")</f>
        <v>0</v>
      </c>
      <c r="J40" s="520" t="str">
        <f ca="1">IFERROR((I40-$D40)/$D40,"")</f>
        <v/>
      </c>
      <c r="K40" s="527">
        <f ca="1">IFERROR(SUMPRODUCT(K35:K39,$C35:$C39),"")</f>
        <v>0</v>
      </c>
      <c r="L40" s="520" t="str">
        <f ca="1">IFERROR((K40-$D40)/$D40,"")</f>
        <v/>
      </c>
    </row>
    <row customFormat="1" r="41" s="57" spans="2:12" x14ac:dyDescent="0.35">
      <c r="B41" s="522" t="s">
        <v>373</v>
      </c>
      <c r="C41" s="523" t="str">
        <f ca="1">IFERROR(AVERAGE(C35:C39),"")</f>
        <v/>
      </c>
      <c r="D41" s="524" t="str">
        <f ca="1">IFERROR(SUMPRODUCT(D35:D39,$C35:$C39)/$C40,"")</f>
        <v/>
      </c>
      <c r="E41" s="524" t="str">
        <f ca="1">IFERROR(SUMPRODUCT(E35:E39,$C35:$C39)/$C40,"")</f>
        <v/>
      </c>
      <c r="F41" s="525" t="str">
        <f ca="1">IFERROR((E41-$D41)/$D41,"")</f>
        <v/>
      </c>
      <c r="G41" s="524" t="str">
        <f ca="1">IFERROR(AVERAGE(G35:G39),"")</f>
        <v/>
      </c>
      <c r="H41" s="525" t="str">
        <f ca="1" si="1" t="shared"/>
        <v/>
      </c>
      <c r="I41" s="524" t="str">
        <f>IFERROR(AVERAGE(I35:I39),"")</f>
        <v/>
      </c>
      <c r="J41" s="526" t="str">
        <f ca="1">IFERROR((I41-$D41)/$D41,"")</f>
        <v/>
      </c>
      <c r="K41" s="524" t="str">
        <f>IFERROR(AVERAGE(K35:K39),"")</f>
        <v/>
      </c>
      <c r="L41" s="526" t="str">
        <f ca="1">IFERROR((K41-$D41)/$D41,"")</f>
        <v/>
      </c>
    </row>
    <row customHeight="1" ht="14.5" r="42" spans="2:12" x14ac:dyDescent="0.35">
      <c r="B42" s="954" t="s">
        <v>477</v>
      </c>
      <c r="C42" s="954"/>
      <c r="D42" s="954"/>
      <c r="E42" s="954"/>
      <c r="F42" s="954"/>
      <c r="G42" s="954"/>
      <c r="H42" s="954"/>
      <c r="I42" s="954"/>
      <c r="J42" s="954"/>
      <c r="K42" s="954"/>
      <c r="L42" s="954"/>
    </row>
    <row r="43" spans="2:12" x14ac:dyDescent="0.35">
      <c r="B43" s="954"/>
      <c r="C43" s="954"/>
      <c r="D43" s="954"/>
      <c r="E43" s="954"/>
      <c r="F43" s="954"/>
      <c r="G43" s="954"/>
      <c r="H43" s="954"/>
      <c r="I43" s="954"/>
      <c r="J43" s="954"/>
      <c r="K43" s="954"/>
      <c r="L43" s="954"/>
    </row>
    <row r="44" spans="2:12" x14ac:dyDescent="0.35">
      <c r="B44" s="587"/>
      <c r="C44" s="587"/>
      <c r="D44" s="588"/>
      <c r="E44" s="588"/>
      <c r="F44" s="589"/>
      <c r="G44" s="588"/>
      <c r="H44" s="589"/>
      <c r="I44" s="588"/>
    </row>
    <row r="45" spans="2:12" x14ac:dyDescent="0.35">
      <c r="B45" s="974" t="s">
        <v>449</v>
      </c>
      <c r="C45" s="975"/>
      <c r="D45" s="975"/>
      <c r="E45" s="975"/>
      <c r="F45" s="975"/>
      <c r="G45" s="976"/>
      <c r="H45" s="976"/>
      <c r="I45" s="976"/>
      <c r="J45" s="976" t="s">
        <v>335</v>
      </c>
      <c r="K45" s="977" t="s">
        <v>505</v>
      </c>
      <c r="L45" s="979" t="s">
        <v>506</v>
      </c>
    </row>
    <row r="46" spans="2:12" x14ac:dyDescent="0.35">
      <c r="B46" s="967" t="s">
        <v>452</v>
      </c>
      <c r="C46" s="56"/>
      <c r="D46" s="57"/>
      <c r="E46" s="57"/>
      <c r="F46" s="519"/>
      <c r="G46" s="57"/>
      <c r="H46" s="519"/>
      <c r="I46" s="57"/>
      <c r="J46" s="515" t="s">
        <v>478</v>
      </c>
      <c r="K46" s="978" t="s">
        <v>496</v>
      </c>
      <c r="L46" s="965" t="s">
        <v>487</v>
      </c>
    </row>
    <row r="47" spans="2:12" x14ac:dyDescent="0.35">
      <c r="B47" s="967" t="s">
        <v>453</v>
      </c>
      <c r="C47" s="56"/>
      <c r="D47" s="57"/>
      <c r="E47" s="57"/>
      <c r="F47" s="519"/>
      <c r="G47" s="57"/>
      <c r="H47" s="519"/>
      <c r="I47" s="57"/>
      <c r="J47" s="515" t="s">
        <v>479</v>
      </c>
      <c r="K47" s="978" t="s">
        <v>497</v>
      </c>
      <c r="L47" s="965" t="s">
        <v>488</v>
      </c>
    </row>
    <row r="48" spans="2:12" x14ac:dyDescent="0.35">
      <c r="B48" s="967" t="s">
        <v>454</v>
      </c>
      <c r="C48" s="56"/>
      <c r="D48" s="57"/>
      <c r="E48" s="57"/>
      <c r="F48" s="519"/>
      <c r="G48" s="57"/>
      <c r="H48" s="519"/>
      <c r="I48" s="57"/>
      <c r="J48" s="515" t="s">
        <v>480</v>
      </c>
      <c r="K48" s="978" t="s">
        <v>498</v>
      </c>
      <c r="L48" s="965" t="s">
        <v>489</v>
      </c>
    </row>
    <row r="49" spans="2:12" x14ac:dyDescent="0.35">
      <c r="B49" s="967" t="s">
        <v>507</v>
      </c>
      <c r="C49" s="56"/>
      <c r="D49" s="57"/>
      <c r="E49" s="57"/>
      <c r="F49" s="519"/>
      <c r="G49" s="57"/>
      <c r="H49" s="519"/>
      <c r="I49" s="57"/>
      <c r="J49" s="515" t="s">
        <v>481</v>
      </c>
      <c r="K49" s="978" t="s">
        <v>499</v>
      </c>
      <c r="L49" s="965" t="s">
        <v>490</v>
      </c>
    </row>
    <row r="50" spans="2:12" x14ac:dyDescent="0.35">
      <c r="B50" s="967" t="s">
        <v>457</v>
      </c>
      <c r="C50" s="56"/>
      <c r="D50" s="57"/>
      <c r="E50" s="57"/>
      <c r="F50" s="519"/>
      <c r="G50" s="57"/>
      <c r="H50" s="519"/>
      <c r="I50" s="57"/>
      <c r="J50" s="515" t="s">
        <v>482</v>
      </c>
      <c r="K50" s="978" t="s">
        <v>500</v>
      </c>
      <c r="L50" s="965" t="s">
        <v>491</v>
      </c>
    </row>
    <row r="51" spans="2:12" x14ac:dyDescent="0.35">
      <c r="B51" s="967" t="s">
        <v>458</v>
      </c>
      <c r="C51" s="56"/>
      <c r="D51" s="57"/>
      <c r="E51" s="57"/>
      <c r="F51" s="519"/>
      <c r="G51" s="57"/>
      <c r="H51" s="519"/>
      <c r="I51" s="57"/>
      <c r="J51" s="515" t="s">
        <v>483</v>
      </c>
      <c r="K51" s="978" t="s">
        <v>501</v>
      </c>
      <c r="L51" s="965" t="s">
        <v>492</v>
      </c>
    </row>
    <row r="52" spans="2:12" x14ac:dyDescent="0.35">
      <c r="B52" s="967" t="s">
        <v>459</v>
      </c>
      <c r="C52" s="56"/>
      <c r="D52" s="57"/>
      <c r="E52" s="57"/>
      <c r="F52" s="519"/>
      <c r="G52" s="57"/>
      <c r="H52" s="519"/>
      <c r="I52" s="57"/>
      <c r="J52" s="515" t="s">
        <v>484</v>
      </c>
      <c r="K52" s="978" t="s">
        <v>502</v>
      </c>
      <c r="L52" s="965" t="s">
        <v>493</v>
      </c>
    </row>
    <row r="53" spans="2:12" x14ac:dyDescent="0.35">
      <c r="B53" s="967" t="s">
        <v>460</v>
      </c>
      <c r="C53" s="56"/>
      <c r="D53" s="57"/>
      <c r="E53" s="57"/>
      <c r="F53" s="519"/>
      <c r="G53" s="57"/>
      <c r="H53" s="519"/>
      <c r="I53" s="57"/>
      <c r="J53" s="515" t="s">
        <v>485</v>
      </c>
      <c r="K53" s="978" t="s">
        <v>503</v>
      </c>
      <c r="L53" s="965" t="s">
        <v>494</v>
      </c>
    </row>
    <row r="54" spans="2:12" x14ac:dyDescent="0.35">
      <c r="B54" s="968" t="s">
        <v>461</v>
      </c>
      <c r="C54" s="969"/>
      <c r="D54" s="970"/>
      <c r="E54" s="970"/>
      <c r="F54" s="971"/>
      <c r="G54" s="970"/>
      <c r="H54" s="971"/>
      <c r="I54" s="970"/>
      <c r="J54" s="972" t="s">
        <v>486</v>
      </c>
      <c r="K54" s="980" t="s">
        <v>504</v>
      </c>
      <c r="L54" s="966" t="s">
        <v>495</v>
      </c>
    </row>
    <row r="55" spans="2:12" x14ac:dyDescent="0.35">
      <c r="B55" s="56"/>
      <c r="C55" s="56"/>
      <c r="D55" s="57"/>
      <c r="E55" s="57"/>
      <c r="F55" s="519"/>
      <c r="G55" s="57"/>
      <c r="H55" s="519"/>
      <c r="I55" s="57"/>
      <c r="J55" s="519"/>
      <c r="K55" s="57"/>
      <c r="L55" s="519"/>
    </row>
  </sheetData>
  <mergeCells count="2">
    <mergeCell ref="B15:L16"/>
    <mergeCell ref="B42:L43"/>
  </mergeCells>
  <pageMargins bottom="0.75" footer="0.3" header="0.3" left="0.7" right="0.7" top="0.75"/>
  <pageSetup copies="0" horizontalDpi="200" orientation="portrait" r:id="rId1" verticalDpi="200"/>
  <drawing r:id="rId2"/>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86308-233F-466D-A044-57428553A256}">
  <dimension ref="A1:O39"/>
  <sheetViews>
    <sheetView workbookViewId="0" zoomScaleNormal="100"/>
  </sheetViews>
  <sheetFormatPr defaultColWidth="8.7265625" defaultRowHeight="14.5" x14ac:dyDescent="0.35"/>
  <cols>
    <col min="1" max="1" customWidth="true" style="262" width="2.7265625" collapsed="false"/>
    <col min="2" max="2" customWidth="true" style="262" width="32.26953125" collapsed="false"/>
    <col min="3" max="3" customWidth="true" style="262" width="2.54296875" collapsed="false"/>
    <col min="4" max="4" customWidth="true" style="370" width="12.54296875" collapsed="false"/>
    <col min="5" max="5" customWidth="true" style="370" width="11.54296875" collapsed="false"/>
    <col min="6" max="6" customWidth="true" style="305" width="11.54296875" collapsed="false"/>
    <col min="7" max="7" customWidth="true" style="371" width="11.54296875" collapsed="false"/>
    <col min="8" max="8" customWidth="true" style="262" width="2.7265625" collapsed="false"/>
    <col min="9" max="9" customWidth="true" style="370" width="12.54296875" collapsed="false"/>
    <col min="10" max="10" customWidth="true" style="370" width="11.54296875" collapsed="false"/>
    <col min="11" max="11" customWidth="true" style="305" width="11.54296875" collapsed="false"/>
    <col min="12" max="12" customWidth="true" style="371" width="11.54296875" collapsed="false"/>
    <col min="13" max="13" customWidth="true" style="262" width="2.54296875" collapsed="false"/>
    <col min="14" max="14" customWidth="true" style="350" width="9.1796875" collapsed="false"/>
    <col min="15" max="16384" style="52" width="8.7265625" collapsed="false"/>
  </cols>
  <sheetData>
    <row r="1" spans="1:14" x14ac:dyDescent="0.35">
      <c r="A1" s="259"/>
      <c r="B1" s="259"/>
      <c r="C1" s="259"/>
      <c r="D1" s="348"/>
      <c r="E1" s="348"/>
      <c r="F1" s="583"/>
      <c r="G1" s="259"/>
      <c r="H1" s="259"/>
      <c r="I1" s="348"/>
      <c r="J1" s="348"/>
      <c r="K1" s="583"/>
      <c r="L1" s="259"/>
      <c r="M1" s="259"/>
      <c r="N1" s="349"/>
    </row>
    <row ht="18.5" r="2" spans="1:14" x14ac:dyDescent="0.35">
      <c r="A2" s="259"/>
      <c r="B2" s="9" t="s">
        <v>187</v>
      </c>
      <c r="C2" s="9"/>
      <c r="D2" s="348"/>
      <c r="E2" s="348"/>
      <c r="F2" s="583"/>
      <c r="G2" s="259"/>
      <c r="H2" s="259"/>
      <c r="I2" s="348"/>
      <c r="J2" s="348"/>
      <c r="K2" s="583"/>
      <c r="L2" s="259"/>
      <c r="M2" s="259"/>
      <c r="N2" s="349"/>
    </row>
    <row ht="18.5" r="3" spans="1:14" x14ac:dyDescent="0.35">
      <c r="A3" s="259"/>
      <c r="B3" s="3" t="str">
        <f>IF(LEN("{property.name}")&gt;1,"{property.name}"&amp;" | "&amp;"{property.number_units}"&amp;" Units","{property.number_units}"&amp;" Units")</f>
        <v>{property.name} | {property.number_units} Units</v>
      </c>
      <c r="C3" s="10"/>
      <c r="D3" s="348"/>
      <c r="E3" s="348"/>
      <c r="F3" s="583"/>
      <c r="G3" s="259"/>
      <c r="H3" s="259"/>
      <c r="I3" s="348"/>
      <c r="J3" s="348"/>
      <c r="K3" s="583"/>
      <c r="L3" s="259"/>
      <c r="M3" s="259"/>
      <c r="N3" s="349"/>
    </row>
    <row ht="18.5" r="4" spans="1:14" x14ac:dyDescent="0.35">
      <c r="A4" s="259"/>
      <c r="B4" s="10" t="s">
        <v>0</v>
      </c>
      <c r="C4" s="10"/>
      <c r="D4" s="348"/>
      <c r="E4" s="348"/>
      <c r="F4" s="583"/>
      <c r="G4" s="259"/>
      <c r="H4" s="259"/>
      <c r="I4" s="348"/>
      <c r="J4" s="348"/>
      <c r="K4" s="583"/>
      <c r="L4" s="259"/>
      <c r="M4" s="259"/>
      <c r="N4" s="349"/>
    </row>
    <row r="5" spans="1:14" x14ac:dyDescent="0.35">
      <c r="A5" s="259"/>
      <c r="B5" s="259"/>
      <c r="C5" s="259"/>
      <c r="D5" s="348"/>
      <c r="E5" s="348"/>
      <c r="F5" s="583"/>
      <c r="G5" s="259"/>
      <c r="H5" s="259"/>
      <c r="I5" s="348"/>
      <c r="J5" s="348"/>
      <c r="K5" s="583"/>
      <c r="L5" s="259"/>
      <c r="M5" s="259"/>
      <c r="N5" s="349"/>
    </row>
    <row r="6" spans="1:14" x14ac:dyDescent="0.35">
      <c r="D6" s="679" t="s">
        <v>188</v>
      </c>
      <c r="E6" s="679"/>
      <c r="F6" s="679"/>
      <c r="G6" s="679"/>
      <c r="I6" s="679" t="s">
        <v>189</v>
      </c>
      <c r="J6" s="679"/>
      <c r="K6" s="679"/>
      <c r="L6" s="679"/>
    </row>
    <row r="7" spans="1:14" x14ac:dyDescent="0.35">
      <c r="D7" s="351"/>
      <c r="E7" s="351"/>
      <c r="F7" s="584"/>
      <c r="G7" s="352"/>
      <c r="I7" s="351"/>
      <c r="J7" s="351"/>
      <c r="K7" s="584"/>
      <c r="L7" s="352"/>
    </row>
    <row r="8" spans="1:14" x14ac:dyDescent="0.35">
      <c r="B8" s="353" t="s">
        <v>190</v>
      </c>
      <c r="D8" s="354" t="s">
        <v>191</v>
      </c>
      <c r="E8" s="354" t="s">
        <v>192</v>
      </c>
      <c r="F8" s="355" t="s">
        <v>193</v>
      </c>
      <c r="G8" s="356" t="s">
        <v>194</v>
      </c>
      <c r="I8" s="354" t="s">
        <v>191</v>
      </c>
      <c r="J8" s="354" t="s">
        <v>192</v>
      </c>
      <c r="K8" s="355" t="s">
        <v>193</v>
      </c>
      <c r="L8" s="356" t="s">
        <v>194</v>
      </c>
      <c r="N8" s="357" t="s">
        <v>98</v>
      </c>
    </row>
    <row r="9" spans="1:14" x14ac:dyDescent="0.35">
      <c r="B9" s="304" t="s">
        <v>195</v>
      </c>
      <c r="D9" s="358" t="s">
        <v>196</v>
      </c>
      <c r="E9" s="358" t="s">
        <v>197</v>
      </c>
      <c r="F9" s="305" t="str">
        <f>TEXT("{line_item.benchmark.per_nrsf}","$#,##0.00")</f>
        <v>{line_item.benchmark.per_nrsf}</v>
      </c>
      <c r="G9" s="359" t="s">
        <v>198</v>
      </c>
      <c r="I9" s="358" t="s">
        <v>199</v>
      </c>
      <c r="J9" s="358" t="s">
        <v>200</v>
      </c>
      <c r="K9" s="305" t="str">
        <f>IF(TEXT("{line_item.custom.per_nrsf}","$#,##0.00")&gt;0,TEXT("{line_item.custom.per_nrsf}","$#,##0.00"),"")</f>
        <v>{line_item.custom.per_nrsf}</v>
      </c>
      <c r="L9" s="359" t="s">
        <v>201</v>
      </c>
      <c r="N9" s="360" t="str">
        <f ca="1" ref="N9:N17" si="0" t="shared">IFERROR((INDIRECT("I"&amp;ROW())-INDIRECT("D"&amp;ROW()))/INDIRECT("D"&amp;ROW()),"")</f>
        <v/>
      </c>
    </row>
    <row r="10" spans="1:14" x14ac:dyDescent="0.35">
      <c r="B10" s="304" t="s">
        <v>202</v>
      </c>
      <c r="D10" s="358" t="s">
        <v>196</v>
      </c>
      <c r="E10" s="358" t="s">
        <v>197</v>
      </c>
      <c r="F10" s="305" t="str">
        <f>TEXT("{line_item.benchmark.per_nrsf}","$#,##0.00")</f>
        <v>{line_item.benchmark.per_nrsf}</v>
      </c>
      <c r="G10" s="359" t="s">
        <v>198</v>
      </c>
      <c r="I10" s="358" t="s">
        <v>199</v>
      </c>
      <c r="J10" s="358" t="s">
        <v>200</v>
      </c>
      <c r="K10" s="305" t="str">
        <f>IF(TEXT("{line_item.custom.per_nrsf}","$#,##0.00")&gt;0,TEXT("{line_item.custom.per_nrsf}","$#,##0.00"),"")</f>
        <v>{line_item.custom.per_nrsf}</v>
      </c>
      <c r="L10" s="359" t="s">
        <v>201</v>
      </c>
      <c r="N10" s="360" t="str">
        <f ca="1" si="0" t="shared"/>
        <v/>
      </c>
    </row>
    <row r="11" spans="1:14" x14ac:dyDescent="0.35">
      <c r="B11" s="361" t="s">
        <v>203</v>
      </c>
      <c r="D11" s="362" t="s">
        <v>204</v>
      </c>
      <c r="E11" s="362" t="s">
        <v>205</v>
      </c>
      <c r="F11" s="363" t="str">
        <f>TEXT("{financials.totals.benchmark.base_rental_revenue.per_nrsf}","$#,##0.00")</f>
        <v>{financials.totals.benchmark.base_rental_revenue.per_nrsf}</v>
      </c>
      <c r="G11" s="364" t="s">
        <v>206</v>
      </c>
      <c r="I11" s="362" t="s">
        <v>207</v>
      </c>
      <c r="J11" s="362" t="s">
        <v>208</v>
      </c>
      <c r="K11" s="363" t="str">
        <f>IF(TEXT("{financials.totals.custom.base_rental_revenue.per_nrsf}","$#,##0.00")&gt;0,TEXT("{financials.totals.custom.base_rental_revenue.per_nrsf}","$#,##0.00"),"")</f>
        <v>{financials.totals.custom.base_rental_revenue.per_nrsf}</v>
      </c>
      <c r="L11" s="364" t="s">
        <v>209</v>
      </c>
      <c r="M11" s="364"/>
      <c r="N11" s="360" t="str">
        <f ca="1" si="0" t="shared"/>
        <v/>
      </c>
    </row>
    <row r="12" spans="1:14" x14ac:dyDescent="0.35">
      <c r="B12" s="304" t="s">
        <v>210</v>
      </c>
      <c r="D12" s="358" t="s">
        <v>196</v>
      </c>
      <c r="E12" s="358" t="s">
        <v>197</v>
      </c>
      <c r="F12" s="305" t="str">
        <f>TEXT("{line_item.benchmark.per_nrsf}","$#,##0.00")</f>
        <v>{line_item.benchmark.per_nrsf}</v>
      </c>
      <c r="G12" s="359" t="s">
        <v>198</v>
      </c>
      <c r="I12" s="358" t="s">
        <v>199</v>
      </c>
      <c r="J12" s="358" t="s">
        <v>200</v>
      </c>
      <c r="K12" s="305" t="str">
        <f>IF(TEXT("{line_item.custom.per_nrsf}","$#,##0.00")&gt;0,TEXT("{line_item.custom.per_nrsf}","$#,##0.00"),"")</f>
        <v>{line_item.custom.per_nrsf}</v>
      </c>
      <c r="L12" s="359" t="s">
        <v>201</v>
      </c>
      <c r="N12" s="360" t="str">
        <f ca="1" si="0" t="shared"/>
        <v/>
      </c>
    </row>
    <row r="13" spans="1:14" x14ac:dyDescent="0.35">
      <c r="B13" s="365" t="s">
        <v>211</v>
      </c>
      <c r="D13" s="366" t="s">
        <v>196</v>
      </c>
      <c r="E13" s="366" t="s">
        <v>197</v>
      </c>
      <c r="F13" s="367" t="str">
        <f>TEXT("{line_item.benchmark.per_nrsf}","$#,##0.00")</f>
        <v>{line_item.benchmark.per_nrsf}</v>
      </c>
      <c r="G13" s="368" t="s">
        <v>198</v>
      </c>
      <c r="I13" s="366" t="s">
        <v>199</v>
      </c>
      <c r="J13" s="366" t="s">
        <v>200</v>
      </c>
      <c r="K13" s="367" t="str">
        <f>IF(TEXT("{line_item.custom.per_nrsf}","$#,##0.00")&gt;0,TEXT("{line_item.custom.per_nrsf}","$#,##0.00"),"")</f>
        <v>{line_item.custom.per_nrsf}</v>
      </c>
      <c r="L13" s="368" t="s">
        <v>201</v>
      </c>
      <c r="N13" s="369" t="str">
        <f ca="1" si="0" t="shared"/>
        <v/>
      </c>
    </row>
    <row r="14" spans="1:14" x14ac:dyDescent="0.35">
      <c r="B14" s="361" t="s">
        <v>212</v>
      </c>
      <c r="D14" s="362" t="s">
        <v>213</v>
      </c>
      <c r="E14" s="362" t="s">
        <v>214</v>
      </c>
      <c r="F14" s="363" t="str">
        <f>TEXT("{financials.totals.benchmark.other_income.per_nrsf}","$#,##0.00")</f>
        <v>{financials.totals.benchmark.other_income.per_nrsf}</v>
      </c>
      <c r="G14" s="364" t="s">
        <v>215</v>
      </c>
      <c r="I14" s="362" t="s">
        <v>216</v>
      </c>
      <c r="J14" s="362" t="s">
        <v>217</v>
      </c>
      <c r="K14" s="363" t="str">
        <f>IF(TEXT("{financials.totals.custom.other_income.per_nrsf}","$#,##0.00")&gt;0,TEXT("{financials.totals.custom.other_income.per_nrsf}","$#,##0.00"),"")</f>
        <v>{financials.totals.custom.other_income.per_nrsf}</v>
      </c>
      <c r="L14" s="364" t="s">
        <v>218</v>
      </c>
      <c r="M14" s="364"/>
      <c r="N14" s="360" t="str">
        <f ca="1" si="0" t="shared"/>
        <v/>
      </c>
    </row>
    <row r="15" spans="1:14" x14ac:dyDescent="0.35">
      <c r="N15" s="360" t="str">
        <f ca="1" si="0" t="shared"/>
        <v/>
      </c>
    </row>
    <row r="16" spans="1:14" x14ac:dyDescent="0.35">
      <c r="B16" s="353" t="s">
        <v>219</v>
      </c>
      <c r="D16" s="354" t="s">
        <v>220</v>
      </c>
      <c r="E16" s="354" t="s">
        <v>221</v>
      </c>
      <c r="F16" s="355" t="str">
        <f>TEXT("{financials.totals.benchmark.egr.per_nrsf}","$#,##0.00")</f>
        <v>{financials.totals.benchmark.egr.per_nrsf}</v>
      </c>
      <c r="G16" s="356" t="s">
        <v>222</v>
      </c>
      <c r="I16" s="354" t="s">
        <v>223</v>
      </c>
      <c r="J16" s="354" t="s">
        <v>224</v>
      </c>
      <c r="K16" s="355" t="str">
        <f>IF(TEXT("{financials.totals.custom.egr.per_nrsf}","$#,##0.00")&gt;0,TEXT("{financials.totals.custom.egr.per_nrsf}","$#,##0.00"),"")</f>
        <v>{financials.totals.custom.egr.per_nrsf}</v>
      </c>
      <c r="L16" s="356" t="s">
        <v>225</v>
      </c>
      <c r="M16" s="364"/>
      <c r="N16" s="357" t="str">
        <f ca="1" si="0" t="shared"/>
        <v/>
      </c>
    </row>
    <row r="17" spans="2:14" x14ac:dyDescent="0.35">
      <c r="N17" s="360" t="str">
        <f ca="1" si="0" t="shared"/>
        <v/>
      </c>
    </row>
    <row r="18" spans="2:14" x14ac:dyDescent="0.35">
      <c r="B18" s="372" t="s">
        <v>226</v>
      </c>
      <c r="D18" s="373" t="s">
        <v>191</v>
      </c>
      <c r="E18" s="373" t="s">
        <v>192</v>
      </c>
      <c r="F18" s="374" t="s">
        <v>193</v>
      </c>
      <c r="G18" s="375" t="s">
        <v>227</v>
      </c>
      <c r="I18" s="373" t="s">
        <v>191</v>
      </c>
      <c r="J18" s="373" t="s">
        <v>192</v>
      </c>
      <c r="K18" s="374" t="s">
        <v>193</v>
      </c>
      <c r="L18" s="375" t="s">
        <v>227</v>
      </c>
      <c r="N18" s="376" t="s">
        <v>98</v>
      </c>
    </row>
    <row r="19" spans="2:14" x14ac:dyDescent="0.35">
      <c r="B19" s="304" t="s">
        <v>228</v>
      </c>
      <c r="D19" s="358" t="s">
        <v>196</v>
      </c>
      <c r="E19" s="358" t="s">
        <v>197</v>
      </c>
      <c r="F19" s="305" t="str">
        <f>TEXT("{line_item.benchmark.per_nrsf}","$#,##0.00")</f>
        <v>{line_item.benchmark.per_nrsf}</v>
      </c>
      <c r="G19" s="359" t="s">
        <v>229</v>
      </c>
      <c r="I19" s="358" t="s">
        <v>199</v>
      </c>
      <c r="J19" s="358" t="s">
        <v>200</v>
      </c>
      <c r="K19" s="305" t="str">
        <f>IF(TEXT("{line_item.custom.per_nrsf}","$#,##0.00")&gt;0,TEXT("{line_item.custom.per_nrsf}","$#,##0.00"),"")</f>
        <v>{line_item.custom.per_nrsf}</v>
      </c>
      <c r="L19" s="359" t="s">
        <v>230</v>
      </c>
      <c r="N19" s="360" t="str">
        <f ca="1">IFERROR((INDIRECT("I"&amp;ROW())-INDIRECT("D"&amp;ROW()))/INDIRECT("D"&amp;ROW()),"")</f>
        <v/>
      </c>
    </row>
    <row r="20" spans="2:14" x14ac:dyDescent="0.35">
      <c r="B20" s="304" t="s">
        <v>231</v>
      </c>
      <c r="D20" s="358" t="s">
        <v>196</v>
      </c>
      <c r="E20" s="358" t="s">
        <v>197</v>
      </c>
      <c r="F20" s="305" t="str">
        <f>TEXT("{line_item.benchmark.per_nrsf}","$#,##0.00")</f>
        <v>{line_item.benchmark.per_nrsf}</v>
      </c>
      <c r="G20" s="359" t="s">
        <v>229</v>
      </c>
      <c r="I20" s="358" t="s">
        <v>199</v>
      </c>
      <c r="J20" s="358" t="s">
        <v>200</v>
      </c>
      <c r="K20" s="305" t="str">
        <f>IF(TEXT("{line_item.custom.per_nrsf}","$#,##0.00")&gt;0,TEXT("{line_item.custom.per_nrsf}","$#,##0.00"),"")</f>
        <v>{line_item.custom.per_nrsf}</v>
      </c>
      <c r="L20" s="359" t="s">
        <v>230</v>
      </c>
      <c r="N20" s="360" t="str">
        <f ca="1">IFERROR((INDIRECT("I"&amp;ROW())-INDIRECT("D"&amp;ROW()))/INDIRECT("D"&amp;ROW()),"")</f>
        <v/>
      </c>
    </row>
    <row r="21" spans="2:14" x14ac:dyDescent="0.35">
      <c r="B21" s="372" t="s">
        <v>232</v>
      </c>
      <c r="C21" s="377"/>
      <c r="D21" s="373" t="s">
        <v>233</v>
      </c>
      <c r="E21" s="373" t="s">
        <v>234</v>
      </c>
      <c r="F21" s="374" t="str">
        <f>TEXT("{financials.totals.benchmark.total_operating_expenses.per_nrsf}","$#,##0.00")</f>
        <v>{financials.totals.benchmark.total_operating_expenses.per_nrsf}</v>
      </c>
      <c r="G21" s="375" t="s">
        <v>235</v>
      </c>
      <c r="H21" s="377"/>
      <c r="I21" s="373" t="s">
        <v>236</v>
      </c>
      <c r="J21" s="373" t="s">
        <v>237</v>
      </c>
      <c r="K21" s="374" t="str">
        <f>IF(TEXT("{financials.totals.custom.total_operating_expenses.per_nrsf}","$#,##0.00")&gt;0,TEXT("{financials.totals.custom.total_operating_expenses.per_nrsf}","$#,##0.00"),"")</f>
        <v>{financials.totals.custom.total_operating_expenses.per_nrsf}</v>
      </c>
      <c r="L21" s="375" t="s">
        <v>238</v>
      </c>
      <c r="M21" s="364"/>
      <c r="N21" s="378" t="str">
        <f ca="1">IFERROR((INDIRECT("I"&amp;ROW())-INDIRECT("D"&amp;ROW()))/INDIRECT("D"&amp;ROW()),"")</f>
        <v/>
      </c>
    </row>
    <row r="22" spans="2:14" x14ac:dyDescent="0.35">
      <c r="N22" s="360" t="str">
        <f ca="1">IFERROR((INDIRECT("I"&amp;ROW())-INDIRECT("D"&amp;ROW()))/INDIRECT("D"&amp;ROW()),"")</f>
        <v/>
      </c>
    </row>
    <row r="23" spans="2:14" x14ac:dyDescent="0.35">
      <c r="B23" s="379" t="s">
        <v>239</v>
      </c>
      <c r="D23" s="380" t="s">
        <v>240</v>
      </c>
      <c r="E23" s="380" t="s">
        <v>241</v>
      </c>
      <c r="F23" s="381" t="str">
        <f>TEXT("{financials.totals.benchmark.noi.per_nrsf}","$#,##0.00")</f>
        <v>{financials.totals.benchmark.noi.per_nrsf}</v>
      </c>
      <c r="G23" s="382" t="s">
        <v>242</v>
      </c>
      <c r="I23" s="380" t="s">
        <v>243</v>
      </c>
      <c r="J23" s="380" t="s">
        <v>244</v>
      </c>
      <c r="K23" s="381" t="str">
        <f>IF(TEXT("{financials.totals.custom.noi.per_nrsf}","$#,##0.00")&gt;0,TEXT("{financials.totals.custom.noi.per_nrsf}","$#,##0.00"),"")</f>
        <v>{financials.totals.custom.noi.per_nrsf}</v>
      </c>
      <c r="L23" s="382" t="s">
        <v>245</v>
      </c>
      <c r="M23" s="364"/>
      <c r="N23" s="383" t="str">
        <f ca="1">IFERROR((INDIRECT("I"&amp;ROW())-INDIRECT("D"&amp;ROW()))/INDIRECT("D"&amp;ROW()),"")</f>
        <v/>
      </c>
    </row>
    <row r="24" spans="2:14" x14ac:dyDescent="0.35">
      <c r="N24" s="360"/>
    </row>
    <row r="25" spans="2:14" x14ac:dyDescent="0.35">
      <c r="N25" s="360"/>
    </row>
    <row r="27" spans="2:14" x14ac:dyDescent="0.35">
      <c r="B27" s="384" t="s">
        <v>246</v>
      </c>
      <c r="D27" s="385" t="s">
        <v>247</v>
      </c>
      <c r="E27" s="385" t="s">
        <v>192</v>
      </c>
      <c r="F27" s="386" t="s">
        <v>193</v>
      </c>
      <c r="G27" s="387" t="s">
        <v>248</v>
      </c>
      <c r="I27" s="385" t="s">
        <v>247</v>
      </c>
      <c r="J27" s="385" t="s">
        <v>192</v>
      </c>
      <c r="K27" s="386" t="s">
        <v>193</v>
      </c>
      <c r="L27" s="387" t="s">
        <v>248</v>
      </c>
      <c r="M27" s="371"/>
      <c r="N27" s="388" t="s">
        <v>98</v>
      </c>
    </row>
    <row r="28" spans="2:14" x14ac:dyDescent="0.35">
      <c r="B28" s="389" t="str">
        <f ca="1">IFERROR(INDIRECT("B"&amp;ROW()+1)-0.25%,"")</f>
        <v/>
      </c>
      <c r="D28" s="358" t="str">
        <f ca="1">IFERROR(VLOOKUP("Net Operating Income (NOI)",($B$5:INDIRECT("D"&amp;ROW())),3,0)/INDIRECT("B"&amp;ROW()),"")</f>
        <v/>
      </c>
      <c r="E28" s="358" t="str">
        <f ca="1" ref="E28:E34" si="1" t="shared">IFERROR(IF(TEXT(INDIRECT(ADDRESS(ROW(),COLUMN()-1))/"{property.number_units}","$#,##")&gt;0,TEXT(INDIRECT(ADDRESS(ROW(),COLUMN()-1))/"{property.number_units}","$#,##"),""),"")</f>
        <v/>
      </c>
      <c r="F28" s="305" t="str">
        <f ca="1" ref="F28:F34" si="2" t="shared">IFERROR(IF(TEXT(INDIRECT(ADDRESS(ROW(),COLUMN()-2))/"{unit_totals.sum_sqft}","$#,##0.00")&gt;0,TEXT(INDIRECT(ADDRESS(ROW(),COLUMN()-2))/"{unit_totals.sum_sqft}","$#,##0.00"),""),"")</f>
        <v/>
      </c>
      <c r="G28" s="390" t="str">
        <f ca="1">IFERROR(INDIRECT("D"&amp;ROW())/VLOOKUP("Gross Potential Revenue",$B$6:INDIRECT("D"&amp;ROW()),3,0),"")</f>
        <v/>
      </c>
      <c r="I28" s="358" t="str">
        <f ca="1">IFERROR(VLOOKUP("Net Operating Income (NOI)",($B$5:INDIRECT("I"&amp;ROW())),8,0)/INDIRECT("B"&amp;ROW()),"")</f>
        <v/>
      </c>
      <c r="J28" s="358" t="str">
        <f ca="1" ref="J28:J34" si="3" t="shared">IFERROR(TEXT(INDIRECT(ADDRESS(ROW(),COLUMN()-1))/"{property.number_units}","$#,##"),"")</f>
        <v/>
      </c>
      <c r="K28" s="305" t="str">
        <f ca="1" ref="K28:K34" si="4" t="shared">IFERROR(IF(TEXT(INDIRECT(ADDRESS(ROW(),COLUMN()-2))/"{unit_totals.sum_sqft}","$#,##0.00")&gt;0,TEXT(INDIRECT(ADDRESS(ROW(),COLUMN()-2))/"{unit_totals.sum_sqft}","$#,##0.00"),""),"")</f>
        <v/>
      </c>
      <c r="L28" s="390" t="str">
        <f ca="1">IFERROR(INDIRECT("I"&amp;ROW())/VLOOKUP("Gross Potential Revenue",$B$6:INDIRECT("I"&amp;ROW()),8,0),"")</f>
        <v/>
      </c>
      <c r="M28" s="371"/>
      <c r="N28" s="360" t="str">
        <f ca="1" ref="N28:N34" si="5" t="shared">IFERROR((INDIRECT("I"&amp;ROW())-INDIRECT("D"&amp;ROW()))/INDIRECT("D"&amp;ROW()),"")</f>
        <v/>
      </c>
    </row>
    <row r="29" spans="2:14" x14ac:dyDescent="0.35">
      <c r="B29" s="389" t="str">
        <f ca="1">IFERROR(INDIRECT("B"&amp;ROW()+1)-0.25%,"")</f>
        <v/>
      </c>
      <c r="D29" s="358" t="str">
        <f ca="1">IFERROR(VLOOKUP("Net Operating Income (NOI)",($B$5:INDIRECT("D"&amp;ROW())),3,0)/INDIRECT("B"&amp;ROW()),"")</f>
        <v/>
      </c>
      <c r="E29" s="358" t="str">
        <f ca="1" si="1" t="shared"/>
        <v/>
      </c>
      <c r="F29" s="305" t="str">
        <f ca="1" si="2" t="shared"/>
        <v/>
      </c>
      <c r="G29" s="390" t="str">
        <f ca="1">IFERROR(INDIRECT("D"&amp;ROW())/VLOOKUP("Gross Potential Revenue",$B$6:INDIRECT("D"&amp;ROW()),3,0),"")</f>
        <v/>
      </c>
      <c r="I29" s="358" t="str">
        <f ca="1">IFERROR(VLOOKUP("Net Operating Income (NOI)",($B$5:INDIRECT("I"&amp;ROW())),8,0)/INDIRECT("B"&amp;ROW()),"")</f>
        <v/>
      </c>
      <c r="J29" s="358" t="str">
        <f ca="1" si="3" t="shared"/>
        <v/>
      </c>
      <c r="K29" s="305" t="str">
        <f ca="1" si="4" t="shared"/>
        <v/>
      </c>
      <c r="L29" s="390" t="str">
        <f ca="1">IFERROR(INDIRECT("I"&amp;ROW())/VLOOKUP("Gross Potential Revenue",$B$6:INDIRECT("I"&amp;ROW()),8,0),"")</f>
        <v/>
      </c>
      <c r="M29" s="371"/>
      <c r="N29" s="360" t="str">
        <f ca="1" si="5" t="shared"/>
        <v/>
      </c>
    </row>
    <row r="30" spans="2:14" x14ac:dyDescent="0.35">
      <c r="B30" s="389" t="str">
        <f ca="1">IFERROR(INDIRECT("B"&amp;ROW()+1)-0.25%,"")</f>
        <v/>
      </c>
      <c r="D30" s="358" t="str">
        <f ca="1">IFERROR(VLOOKUP("Net Operating Income (NOI)",($B$5:INDIRECT("D"&amp;ROW())),3,0)/INDIRECT("B"&amp;ROW()),"")</f>
        <v/>
      </c>
      <c r="E30" s="358" t="str">
        <f ca="1" si="1" t="shared"/>
        <v/>
      </c>
      <c r="F30" s="305" t="str">
        <f ca="1" si="2" t="shared"/>
        <v/>
      </c>
      <c r="G30" s="390" t="str">
        <f ca="1">IFERROR(INDIRECT("D"&amp;ROW())/VLOOKUP("Gross Potential Revenue",$B$6:INDIRECT("D"&amp;ROW()),3,0),"")</f>
        <v/>
      </c>
      <c r="I30" s="358" t="str">
        <f ca="1">IFERROR(VLOOKUP("Net Operating Income (NOI)",($B$5:INDIRECT("I"&amp;ROW())),8,0)/INDIRECT("B"&amp;ROW()),"")</f>
        <v/>
      </c>
      <c r="J30" s="358" t="str">
        <f ca="1" si="3" t="shared"/>
        <v/>
      </c>
      <c r="K30" s="305" t="str">
        <f ca="1" si="4" t="shared"/>
        <v/>
      </c>
      <c r="L30" s="390" t="str">
        <f ca="1">IFERROR(INDIRECT("I"&amp;ROW())/VLOOKUP("Gross Potential Revenue",$B$6:INDIRECT("I"&amp;ROW()),8,0),"")</f>
        <v/>
      </c>
      <c r="M30" s="371"/>
      <c r="N30" s="360" t="str">
        <f ca="1" si="5" t="shared"/>
        <v/>
      </c>
    </row>
    <row r="31" spans="2:14" x14ac:dyDescent="0.35">
      <c r="B31" s="391" t="str">
        <f>IF(ISNUMBER('Pro Forma'!$D$13),'Pro Forma'!$D$13,"")</f>
        <v/>
      </c>
      <c r="C31" s="392"/>
      <c r="D31" s="292" t="str">
        <f ca="1">IFERROR(VLOOKUP("Net Operating Income (NOI)",($B$5:INDIRECT("D"&amp;ROW())),3,0)/INDIRECT("B"&amp;ROW()),"")</f>
        <v/>
      </c>
      <c r="E31" s="292" t="str">
        <f ca="1" si="1" t="shared"/>
        <v/>
      </c>
      <c r="F31" s="298" t="str">
        <f ca="1" si="2" t="shared"/>
        <v/>
      </c>
      <c r="G31" s="393" t="str">
        <f ca="1">IFERROR(INDIRECT("D"&amp;ROW())/VLOOKUP("Gross Potential Revenue",$B$6:INDIRECT("D"&amp;ROW()),3,0),"")</f>
        <v/>
      </c>
      <c r="H31" s="392"/>
      <c r="I31" s="292" t="str">
        <f ca="1">IFERROR(VLOOKUP("Net Operating Income (NOI)",($B$5:INDIRECT("I"&amp;ROW())),8,0)/INDIRECT("B"&amp;ROW()),"")</f>
        <v/>
      </c>
      <c r="J31" s="292" t="str">
        <f ca="1" si="3" t="shared"/>
        <v/>
      </c>
      <c r="K31" s="298" t="str">
        <f ca="1" si="4" t="shared"/>
        <v/>
      </c>
      <c r="L31" s="393" t="str">
        <f ca="1">IFERROR(INDIRECT("I"&amp;ROW())/VLOOKUP("Gross Potential Revenue",$B$6:INDIRECT("I"&amp;ROW()),8,0),"")</f>
        <v/>
      </c>
      <c r="M31" s="394"/>
      <c r="N31" s="395" t="str">
        <f ca="1" si="5" t="shared"/>
        <v/>
      </c>
    </row>
    <row r="32" spans="2:14" x14ac:dyDescent="0.35">
      <c r="B32" s="389" t="str">
        <f ca="1">IFERROR(INDIRECT("B"&amp;ROW()-1)+0.25%,"")</f>
        <v/>
      </c>
      <c r="D32" s="358" t="str">
        <f ca="1">IFERROR(VLOOKUP("Net Operating Income (NOI)",($B$5:INDIRECT("D"&amp;ROW())),3,0)/INDIRECT("B"&amp;ROW()),"")</f>
        <v/>
      </c>
      <c r="E32" s="358" t="str">
        <f ca="1" si="1" t="shared"/>
        <v/>
      </c>
      <c r="F32" s="305" t="str">
        <f ca="1" si="2" t="shared"/>
        <v/>
      </c>
      <c r="G32" s="390" t="str">
        <f ca="1">IFERROR(INDIRECT("D"&amp;ROW())/VLOOKUP("Gross Potential Revenue",$B$6:INDIRECT("D"&amp;ROW()),3,0),"")</f>
        <v/>
      </c>
      <c r="I32" s="358" t="str">
        <f ca="1">IFERROR(VLOOKUP("Net Operating Income (NOI)",($B$5:INDIRECT("I"&amp;ROW())),8,0)/INDIRECT("B"&amp;ROW()),"")</f>
        <v/>
      </c>
      <c r="J32" s="358" t="str">
        <f ca="1" si="3" t="shared"/>
        <v/>
      </c>
      <c r="K32" s="305" t="str">
        <f ca="1" si="4" t="shared"/>
        <v/>
      </c>
      <c r="L32" s="390" t="str">
        <f ca="1">IFERROR(INDIRECT("I"&amp;ROW())/VLOOKUP("Gross Potential Revenue",$B$6:INDIRECT("I"&amp;ROW()),8,0),"")</f>
        <v/>
      </c>
      <c r="M32" s="371"/>
      <c r="N32" s="360" t="str">
        <f ca="1" si="5" t="shared"/>
        <v/>
      </c>
    </row>
    <row r="33" spans="2:14" x14ac:dyDescent="0.35">
      <c r="B33" s="389" t="str">
        <f ca="1">IFERROR(INDIRECT("B"&amp;ROW()-1)+0.25%,"")</f>
        <v/>
      </c>
      <c r="D33" s="358" t="str">
        <f ca="1">IFERROR(VLOOKUP("Net Operating Income (NOI)",($B$5:INDIRECT("D"&amp;ROW())),3,0)/INDIRECT("B"&amp;ROW()),"")</f>
        <v/>
      </c>
      <c r="E33" s="358" t="str">
        <f ca="1" si="1" t="shared"/>
        <v/>
      </c>
      <c r="F33" s="305" t="str">
        <f ca="1" si="2" t="shared"/>
        <v/>
      </c>
      <c r="G33" s="390" t="str">
        <f ca="1">IFERROR(INDIRECT("D"&amp;ROW())/VLOOKUP("Gross Potential Revenue",$B$6:INDIRECT("D"&amp;ROW()),3,0),"")</f>
        <v/>
      </c>
      <c r="I33" s="358" t="str">
        <f ca="1">IFERROR(VLOOKUP("Net Operating Income (NOI)",($B$5:INDIRECT("I"&amp;ROW())),8,0)/INDIRECT("B"&amp;ROW()),"")</f>
        <v/>
      </c>
      <c r="J33" s="358" t="str">
        <f ca="1" si="3" t="shared"/>
        <v/>
      </c>
      <c r="K33" s="305" t="str">
        <f ca="1" si="4" t="shared"/>
        <v/>
      </c>
      <c r="L33" s="390" t="str">
        <f ca="1">IFERROR(INDIRECT("I"&amp;ROW())/VLOOKUP("Gross Potential Revenue",$B$6:INDIRECT("I"&amp;ROW()),8,0),"")</f>
        <v/>
      </c>
      <c r="M33" s="371"/>
      <c r="N33" s="360" t="str">
        <f ca="1" si="5" t="shared"/>
        <v/>
      </c>
    </row>
    <row r="34" spans="2:14" x14ac:dyDescent="0.35">
      <c r="B34" s="389" t="str">
        <f ca="1">IFERROR(INDIRECT("B"&amp;ROW()-1)+0.25%,"")</f>
        <v/>
      </c>
      <c r="D34" s="358" t="str">
        <f ca="1">IFERROR(VLOOKUP("Net Operating Income (NOI)",($B$5:INDIRECT("D"&amp;ROW())),3,0)/INDIRECT("B"&amp;ROW()),"")</f>
        <v/>
      </c>
      <c r="E34" s="358" t="str">
        <f ca="1" si="1" t="shared"/>
        <v/>
      </c>
      <c r="F34" s="305" t="str">
        <f ca="1" si="2" t="shared"/>
        <v/>
      </c>
      <c r="G34" s="390" t="str">
        <f ca="1">IFERROR(INDIRECT("D"&amp;ROW())/VLOOKUP("Gross Potential Revenue",$B$6:INDIRECT("D"&amp;ROW()),3,0),"")</f>
        <v/>
      </c>
      <c r="I34" s="358" t="str">
        <f ca="1">IFERROR(VLOOKUP("Net Operating Income (NOI)",($B$5:INDIRECT("I"&amp;ROW())),8,0)/INDIRECT("B"&amp;ROW()),"")</f>
        <v/>
      </c>
      <c r="J34" s="358" t="str">
        <f ca="1" si="3" t="shared"/>
        <v/>
      </c>
      <c r="K34" s="305" t="str">
        <f ca="1" si="4" t="shared"/>
        <v/>
      </c>
      <c r="L34" s="390" t="str">
        <f ca="1">IFERROR(INDIRECT("I"&amp;ROW())/VLOOKUP("Gross Potential Revenue",$B$6:INDIRECT("I"&amp;ROW()),8,0),"")</f>
        <v/>
      </c>
      <c r="N34" s="350" t="str">
        <f ca="1" si="5" t="shared"/>
        <v/>
      </c>
    </row>
    <row r="39" spans="2:14" x14ac:dyDescent="0.35">
      <c r="E39" s="358"/>
    </row>
  </sheetData>
  <mergeCells count="2">
    <mergeCell ref="D6:G6"/>
    <mergeCell ref="I6:L6"/>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12</vt:i4>
      </vt:variant>
    </vt:vector>
  </HeadingPairs>
  <TitlesOfParts>
    <vt:vector baseType="lpstr" size="12">
      <vt:lpstr>Overview</vt:lpstr>
      <vt:lpstr>Unit Mix</vt:lpstr>
      <vt:lpstr>Lease Analysis</vt:lpstr>
      <vt:lpstr>Comps Analysis</vt:lpstr>
      <vt:lpstr>Amenity Analysis</vt:lpstr>
      <vt:lpstr>Similar Properties</vt:lpstr>
      <vt:lpstr>Historical Rent Data</vt:lpstr>
      <vt:lpstr>Market Analysis</vt:lpstr>
      <vt:lpstr>Operating Statement</vt:lpstr>
      <vt:lpstr>T-12 Analysis</vt:lpstr>
      <vt:lpstr>Pro Forma</vt:lpstr>
      <vt:lpstr>PDF 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2018-08-23T20:28:41Z</dcterms:created>
  <dc:creator>Marc Rutzen</dc:creator>
  <cp:lastModifiedBy>Marc Rutzen</cp:lastModifiedBy>
  <dcterms:modified xsi:type="dcterms:W3CDTF">2018-08-29T16:17:23Z</dcterms:modified>
</cp:coreProperties>
</file>